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Great Glemham\Finance\Accounts 2425\"/>
    </mc:Choice>
  </mc:AlternateContent>
  <xr:revisionPtr revIDLastSave="0" documentId="13_ncr:1_{508FC105-BA1A-4F30-B4A0-4159A0F7F022}" xr6:coauthVersionLast="47" xr6:coauthVersionMax="47" xr10:uidLastSave="{00000000-0000-0000-0000-000000000000}"/>
  <bookViews>
    <workbookView xWindow="-120" yWindow="-120" windowWidth="20730" windowHeight="11160" firstSheet="2" activeTab="2" xr2:uid="{6F8662F9-0091-774C-A818-6911EA7DE76A}"/>
  </bookViews>
  <sheets>
    <sheet name="Annual Budget 2024 25" sheetId="1" state="hidden" r:id="rId1"/>
    <sheet name="Cashbook" sheetId="6" state="hidden" r:id="rId2"/>
    <sheet name="Year End" sheetId="2" r:id="rId3"/>
  </sheets>
  <definedNames>
    <definedName name="_xlnm.Print_Area" localSheetId="0">'Annual Budget 2024 25'!$A$1:$G$63</definedName>
    <definedName name="_xlnm.Print_Area" localSheetId="1">Cashbook!$B$2:$M$55</definedName>
    <definedName name="_xlnm.Print_Area" localSheetId="2">'Year End'!$A$1:$H$57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3" i="2"/>
  <c r="E15" i="2"/>
  <c r="E16" i="2"/>
  <c r="G16" i="2"/>
  <c r="E19" i="2"/>
  <c r="F19" i="2"/>
  <c r="G19" i="2"/>
  <c r="E20" i="2"/>
  <c r="F20" i="2"/>
  <c r="G20" i="2"/>
  <c r="E21" i="2"/>
  <c r="G21" i="2"/>
  <c r="E22" i="2"/>
  <c r="F22" i="2"/>
  <c r="G22" i="2"/>
  <c r="E23" i="2"/>
  <c r="G23" i="2"/>
  <c r="E24" i="2"/>
  <c r="G24" i="2"/>
  <c r="E25" i="2"/>
  <c r="F25" i="2"/>
  <c r="G25" i="2"/>
  <c r="E26" i="2"/>
  <c r="G26" i="2"/>
  <c r="E27" i="2"/>
  <c r="G27" i="2"/>
  <c r="E28" i="2"/>
  <c r="G28" i="2"/>
  <c r="E29" i="2"/>
  <c r="G29" i="2"/>
  <c r="E30" i="2"/>
  <c r="G30" i="2"/>
  <c r="E31" i="2"/>
  <c r="G31" i="2"/>
  <c r="E32" i="2"/>
  <c r="F32" i="2"/>
  <c r="G32" i="2"/>
  <c r="E33" i="2"/>
  <c r="F33" i="2"/>
  <c r="G33" i="2"/>
  <c r="G34" i="2"/>
  <c r="G36" i="2"/>
  <c r="G60" i="1"/>
  <c r="I72" i="6"/>
  <c r="J72" i="6"/>
  <c r="J76" i="6"/>
  <c r="I76" i="6"/>
  <c r="H73" i="6"/>
  <c r="F52" i="2"/>
  <c r="I53" i="6"/>
  <c r="F45" i="2"/>
  <c r="F34" i="2"/>
  <c r="F46" i="2"/>
  <c r="F47" i="2"/>
  <c r="C9" i="2"/>
  <c r="F43" i="2"/>
  <c r="F44" i="2"/>
  <c r="F48" i="2"/>
  <c r="E55" i="1"/>
  <c r="G55" i="1"/>
  <c r="G50" i="1"/>
  <c r="G51" i="1"/>
  <c r="G52" i="1"/>
  <c r="G53" i="1"/>
  <c r="F54" i="1"/>
  <c r="G54" i="1"/>
  <c r="G56" i="1"/>
  <c r="F65" i="6"/>
  <c r="G65" i="6"/>
  <c r="H65" i="6"/>
  <c r="J65" i="6"/>
  <c r="G61" i="1"/>
  <c r="F53" i="6"/>
  <c r="G53" i="6"/>
  <c r="H53" i="6"/>
  <c r="J53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F60" i="1"/>
  <c r="E60" i="1"/>
  <c r="G62" i="1"/>
  <c r="E62" i="1"/>
  <c r="E56" i="1"/>
  <c r="F38" i="2"/>
  <c r="G14" i="2"/>
  <c r="H74" i="6"/>
  <c r="G74" i="6"/>
  <c r="H76" i="6"/>
  <c r="G72" i="6"/>
  <c r="G76" i="6"/>
  <c r="F70" i="6"/>
  <c r="F76" i="6"/>
  <c r="J60" i="6"/>
  <c r="J61" i="6"/>
  <c r="J62" i="6"/>
  <c r="F11" i="1"/>
  <c r="E15" i="1"/>
  <c r="E19" i="1"/>
  <c r="E20" i="1"/>
  <c r="E33" i="1"/>
  <c r="E35" i="1"/>
  <c r="E40" i="1"/>
  <c r="E42" i="1"/>
  <c r="G19" i="1"/>
  <c r="E43" i="1"/>
  <c r="G20" i="1"/>
  <c r="F31" i="1"/>
  <c r="F30" i="1"/>
  <c r="F29" i="1"/>
  <c r="F28" i="1"/>
  <c r="F27" i="1"/>
  <c r="F26" i="1"/>
  <c r="F25" i="1"/>
  <c r="F24" i="1"/>
  <c r="F23" i="1"/>
  <c r="F22" i="1"/>
  <c r="F21" i="1"/>
  <c r="F20" i="1"/>
  <c r="G15" i="1"/>
  <c r="F19" i="1"/>
  <c r="G15" i="2"/>
  <c r="G13" i="2"/>
  <c r="F15" i="1"/>
  <c r="G33" i="1"/>
  <c r="F33" i="1"/>
  <c r="E45" i="1"/>
  <c r="G35" i="1"/>
  <c r="C34" i="2"/>
  <c r="C16" i="2"/>
  <c r="F36" i="2"/>
  <c r="C36" i="2"/>
  <c r="C15" i="1"/>
  <c r="C33" i="1"/>
  <c r="E34" i="2"/>
  <c r="C35" i="1"/>
  <c r="E36" i="2"/>
</calcChain>
</file>

<file path=xl/sharedStrings.xml><?xml version="1.0" encoding="utf-8"?>
<sst xmlns="http://schemas.openxmlformats.org/spreadsheetml/2006/main" count="298" uniqueCount="157">
  <si>
    <t>Approved</t>
  </si>
  <si>
    <t>Estimated</t>
  </si>
  <si>
    <t>Budget</t>
  </si>
  <si>
    <t>Actual</t>
  </si>
  <si>
    <t>2024/25</t>
  </si>
  <si>
    <t>NOTES</t>
  </si>
  <si>
    <t>Variation</t>
  </si>
  <si>
    <t>2025/26</t>
  </si>
  <si>
    <t>Income</t>
  </si>
  <si>
    <t>Precept</t>
  </si>
  <si>
    <t>VAT reclaim</t>
  </si>
  <si>
    <t>Sundries</t>
  </si>
  <si>
    <t>Expenditure</t>
  </si>
  <si>
    <t>Clerks Salary</t>
  </si>
  <si>
    <t>HMRC Liability for Tax @20% - P30</t>
  </si>
  <si>
    <t>Clerk Office Expenses</t>
  </si>
  <si>
    <t>Insurance</t>
  </si>
  <si>
    <t>Surplus / (Deficit)</t>
  </si>
  <si>
    <t>Clerk Salary Costs Calculation</t>
  </si>
  <si>
    <t>Backpay est incl tax</t>
  </si>
  <si>
    <t>Estimated salary costs</t>
  </si>
  <si>
    <t>Annual</t>
  </si>
  <si>
    <t>Variance</t>
  </si>
  <si>
    <t>Notes</t>
  </si>
  <si>
    <t>£</t>
  </si>
  <si>
    <t>Opening Current Bank Balance 01/04/2024</t>
  </si>
  <si>
    <t>Total Income</t>
  </si>
  <si>
    <t>Total Expenditure</t>
  </si>
  <si>
    <t>Surplus / (- Defecit)</t>
  </si>
  <si>
    <t>Closing Balance as per Bank Statement</t>
  </si>
  <si>
    <t>Opening Balance</t>
  </si>
  <si>
    <t>Closing Balance</t>
  </si>
  <si>
    <t>Payee</t>
  </si>
  <si>
    <t>Service</t>
  </si>
  <si>
    <t>VAT</t>
  </si>
  <si>
    <t>Opening Balance as per Bank Statement</t>
  </si>
  <si>
    <t>Clerk salary</t>
  </si>
  <si>
    <t>GREAT GLEMHAM PARISH COUNCIL</t>
  </si>
  <si>
    <t>CURRENT ACCOUNT</t>
  </si>
  <si>
    <t>Quarter 1 April 2024 - Current</t>
  </si>
  <si>
    <t>Clerk tax</t>
  </si>
  <si>
    <t>VH First Aid</t>
  </si>
  <si>
    <t>Membership fee</t>
  </si>
  <si>
    <t>Maintenance (Mower)</t>
  </si>
  <si>
    <t>Precept credit</t>
  </si>
  <si>
    <t>Audit costs</t>
  </si>
  <si>
    <t>Maintenance (tools)</t>
  </si>
  <si>
    <t>Maintenance (fuel)</t>
  </si>
  <si>
    <t>Maintenance</t>
  </si>
  <si>
    <t>Inspection (Play)</t>
  </si>
  <si>
    <t>Website renew</t>
  </si>
  <si>
    <t>Mrs Suzanne Grogan</t>
  </si>
  <si>
    <t>HMRC Cumbernauld</t>
  </si>
  <si>
    <t>G G Village Hall</t>
  </si>
  <si>
    <t>S A L C</t>
  </si>
  <si>
    <t>Mark Watling</t>
  </si>
  <si>
    <t>EAST SUFFOLK BACS</t>
  </si>
  <si>
    <t>BENSON</t>
  </si>
  <si>
    <t>ROSPA</t>
  </si>
  <si>
    <t>CAS1Suffolk</t>
  </si>
  <si>
    <t>Cashbook Great Glemham PC</t>
  </si>
  <si>
    <t>BACS</t>
  </si>
  <si>
    <t>BACS Credit</t>
  </si>
  <si>
    <t xml:space="preserve">BACS </t>
  </si>
  <si>
    <t>Grounds Maintenance</t>
  </si>
  <si>
    <t>Audit</t>
  </si>
  <si>
    <t>Meeting Rooms</t>
  </si>
  <si>
    <t>Subscriptions</t>
  </si>
  <si>
    <t>Training</t>
  </si>
  <si>
    <t>Elections</t>
  </si>
  <si>
    <t>Miscellaneous</t>
  </si>
  <si>
    <t xml:space="preserve">Based precept letter and 2nd Homes increase </t>
  </si>
  <si>
    <t>No reason to expect any income</t>
  </si>
  <si>
    <t>Balanced</t>
  </si>
  <si>
    <t>Business Services</t>
  </si>
  <si>
    <t>CAS Insurance</t>
  </si>
  <si>
    <t>Subscriptions (SALC)</t>
  </si>
  <si>
    <t>Great Glemham PC Budget 2024-25</t>
  </si>
  <si>
    <t>4 hours at revised hourly rate</t>
  </si>
  <si>
    <t>S.137 payments to Charities</t>
  </si>
  <si>
    <t>Small amount only</t>
  </si>
  <si>
    <t>Higher than estimated</t>
  </si>
  <si>
    <t>Split from Salary in 24/25</t>
  </si>
  <si>
    <t>Salary paid @ approx £250 per month</t>
  </si>
  <si>
    <t>Miscellaneous - minor projects</t>
  </si>
  <si>
    <t>Funding for minor projects</t>
  </si>
  <si>
    <t>Revised hourly rate 2024/25 (Point 24)</t>
  </si>
  <si>
    <t>Tax liability @ 20% approx £60 per month</t>
  </si>
  <si>
    <t>Increase to reflect actual</t>
  </si>
  <si>
    <t>Same as 24/24 =pending</t>
  </si>
  <si>
    <t>Plus 5% inflation</t>
  </si>
  <si>
    <t>No election anticipated in 2025/26</t>
  </si>
  <si>
    <t>Increase to reflect actual Plus 5%</t>
  </si>
  <si>
    <t xml:space="preserve">Clerk salary </t>
  </si>
  <si>
    <t>Transfer to Instant Saver</t>
  </si>
  <si>
    <t>Great Glemham Savings</t>
  </si>
  <si>
    <t>Ebb &amp; Flow Magazine</t>
  </si>
  <si>
    <t>Parish Magazine</t>
  </si>
  <si>
    <t>Welcome Medical</t>
  </si>
  <si>
    <t>Benson GGPC</t>
  </si>
  <si>
    <t>Maintenance Play equip</t>
  </si>
  <si>
    <t>Defribillator Pads</t>
  </si>
  <si>
    <t>SAVINGS ACCOUNT</t>
  </si>
  <si>
    <t>Transfer from Current Account</t>
  </si>
  <si>
    <t>Great Glemham Current Account</t>
  </si>
  <si>
    <t>TOTAL BALANCES</t>
  </si>
  <si>
    <t>Opening Balances as per Bank Statements</t>
  </si>
  <si>
    <t>Closing Balances as per Bank Statements</t>
  </si>
  <si>
    <t>G G Village Hall Repairs</t>
  </si>
  <si>
    <t>Village Hall</t>
  </si>
  <si>
    <t>G G Village Hall Repairs Transfer</t>
  </si>
  <si>
    <t>Transfer from Premium Account</t>
  </si>
  <si>
    <t>CHAPS Solar Fund</t>
  </si>
  <si>
    <t>Chaps Solar Fund</t>
  </si>
  <si>
    <t>CHAPS</t>
  </si>
  <si>
    <t>Transfer to Premium Account</t>
  </si>
  <si>
    <t>ICO Annual Registration</t>
  </si>
  <si>
    <t>ICO</t>
  </si>
  <si>
    <t>DD</t>
  </si>
  <si>
    <t>Village Hall repairs</t>
  </si>
  <si>
    <t>Transfer to Current Account</t>
  </si>
  <si>
    <t>Internal Transfers</t>
  </si>
  <si>
    <t>Total Credits</t>
  </si>
  <si>
    <t>Total Debits</t>
  </si>
  <si>
    <t>Totals</t>
  </si>
  <si>
    <t>AGAR Numbers</t>
  </si>
  <si>
    <t>Solar Fund</t>
  </si>
  <si>
    <t>Staff Costs</t>
  </si>
  <si>
    <t>Other Expenditure</t>
  </si>
  <si>
    <t>Village Hall Repairs</t>
  </si>
  <si>
    <t>Recycling</t>
  </si>
  <si>
    <t>Butchers Field</t>
  </si>
  <si>
    <t>Archive</t>
  </si>
  <si>
    <t>K6</t>
  </si>
  <si>
    <t>General Reserve</t>
  </si>
  <si>
    <t>Balances</t>
  </si>
  <si>
    <t>Current Account</t>
  </si>
  <si>
    <t>Premium Account</t>
  </si>
  <si>
    <t>Other receipts</t>
  </si>
  <si>
    <t>Earmarked Reserves</t>
  </si>
  <si>
    <t>Reserves</t>
  </si>
  <si>
    <t>Closing Balance Current Account</t>
  </si>
  <si>
    <t>Closing Balance Premium Account</t>
  </si>
  <si>
    <t>Closing Balance as per all Bank Statements</t>
  </si>
  <si>
    <t>End of Year Accounts</t>
  </si>
  <si>
    <t>Opening Balances all accounts</t>
  </si>
  <si>
    <t>Closing balances all accounts</t>
  </si>
  <si>
    <t>To be considered alongside HMRC P30 payments toal overspend of £761. Has been built into budget for 2025-26.</t>
  </si>
  <si>
    <t>This is seen as a one off for 2024-25 which will not be repeated in 2025-26</t>
  </si>
  <si>
    <t>Paid for by Solar Funds - see income</t>
  </si>
  <si>
    <t>Principally due to Salary overspend</t>
  </si>
  <si>
    <t xml:space="preserve">Variance Report </t>
  </si>
  <si>
    <t>April 2024 to March 2025</t>
  </si>
  <si>
    <t>No payments made</t>
  </si>
  <si>
    <t xml:space="preserve">NOTES: </t>
  </si>
  <si>
    <t>1) Suggest a review of the Ear /marked reserves to see if all reserves are still relevant and if they are still required</t>
  </si>
  <si>
    <t>Great Glemham Parish Council Budget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</si>
</sst>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_ ;\-#,##0\ "/>
  </numFmts>
  <fonts count="1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9"/>
      <name val="Calibri"/>
      <family val="2"/>
      <scheme val="minor"/>
    </font>
    <font>
      <b/>
      <sz val="12"/>
      <color theme="9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37" fontId="0" fillId="0" borderId="0" xfId="0" applyNumberFormat="1"/>
    <xf numFmtId="0" fontId="1" fillId="0" borderId="0" xfId="0" applyFont="1"/>
    <xf numFmtId="0" fontId="2" fillId="0" borderId="0" xfId="0" applyFont="1"/>
    <xf numFmtId="37" fontId="2" fillId="0" borderId="0" xfId="0" applyNumberFormat="1" applyFont="1"/>
    <xf numFmtId="37" fontId="1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7" fontId="3" fillId="0" borderId="0" xfId="0" applyNumberFormat="1" applyFont="1"/>
    <xf numFmtId="0" fontId="4" fillId="0" borderId="0" xfId="0" applyFont="1"/>
    <xf numFmtId="0" fontId="5" fillId="0" borderId="0" xfId="0" applyFont="1"/>
    <xf numFmtId="37" fontId="2" fillId="0" borderId="1" xfId="0" applyNumberFormat="1" applyFont="1" applyBorder="1"/>
    <xf numFmtId="0" fontId="2" fillId="0" borderId="1" xfId="0" applyFont="1" applyBorder="1"/>
    <xf numFmtId="37" fontId="6" fillId="0" borderId="0" xfId="0" applyNumberFormat="1" applyFont="1"/>
    <xf numFmtId="39" fontId="0" fillId="0" borderId="0" xfId="0" applyNumberFormat="1"/>
    <xf numFmtId="39" fontId="1" fillId="0" borderId="0" xfId="0" applyNumberFormat="1" applyFont="1"/>
    <xf numFmtId="39" fontId="7" fillId="0" borderId="0" xfId="0" applyNumberFormat="1" applyFont="1"/>
    <xf numFmtId="37" fontId="7" fillId="0" borderId="0" xfId="0" applyNumberFormat="1" applyFont="1"/>
    <xf numFmtId="37" fontId="5" fillId="0" borderId="0" xfId="0" applyNumberFormat="1" applyFont="1"/>
    <xf numFmtId="37" fontId="2" fillId="0" borderId="0" xfId="0" quotePrefix="1" applyNumberFormat="1" applyFont="1"/>
    <xf numFmtId="164" fontId="0" fillId="0" borderId="0" xfId="0" applyNumberFormat="1"/>
    <xf numFmtId="37" fontId="2" fillId="0" borderId="2" xfId="0" applyNumberFormat="1" applyFont="1" applyBorder="1"/>
    <xf numFmtId="0" fontId="0" fillId="0" borderId="2" xfId="0" applyBorder="1"/>
    <xf numFmtId="37" fontId="8" fillId="0" borderId="0" xfId="0" applyNumberFormat="1" applyFont="1"/>
    <xf numFmtId="37" fontId="2" fillId="0" borderId="0" xfId="0" quotePrefix="1" applyNumberFormat="1" applyFont="1" applyAlignment="1">
      <alignment horizontal="center"/>
    </xf>
    <xf numFmtId="37" fontId="0" fillId="0" borderId="1" xfId="0" applyNumberFormat="1" applyBorder="1"/>
    <xf numFmtId="37" fontId="1" fillId="0" borderId="0" xfId="0" applyNumberFormat="1" applyFont="1"/>
    <xf numFmtId="37" fontId="0" fillId="0" borderId="0" xfId="0" quotePrefix="1" applyNumberFormat="1" applyAlignment="1">
      <alignment vertical="top" wrapText="1"/>
    </xf>
    <xf numFmtId="0" fontId="0" fillId="0" borderId="0" xfId="0" applyAlignment="1">
      <alignment vertical="top"/>
    </xf>
    <xf numFmtId="37" fontId="0" fillId="0" borderId="0" xfId="0" applyNumberFormat="1" applyAlignment="1">
      <alignment vertical="top"/>
    </xf>
    <xf numFmtId="37" fontId="4" fillId="0" borderId="0" xfId="0" applyNumberFormat="1" applyFont="1"/>
    <xf numFmtId="0" fontId="0" fillId="0" borderId="0" xfId="0" applyAlignment="1">
      <alignment horizontal="left"/>
    </xf>
    <xf numFmtId="4" fontId="0" fillId="0" borderId="0" xfId="0" applyNumberFormat="1"/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/>
    <xf numFmtId="3" fontId="2" fillId="0" borderId="1" xfId="0" applyNumberFormat="1" applyFont="1" applyBorder="1"/>
    <xf numFmtId="165" fontId="0" fillId="0" borderId="0" xfId="0" applyNumberFormat="1" applyAlignment="1">
      <alignment horizontal="right" vertical="center"/>
    </xf>
    <xf numFmtId="165" fontId="9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37" fontId="1" fillId="0" borderId="0" xfId="0" applyNumberFormat="1" applyFont="1" applyAlignment="1">
      <alignment horizontal="right" vertical="center"/>
    </xf>
    <xf numFmtId="37" fontId="0" fillId="0" borderId="0" xfId="0" applyNumberFormat="1" applyAlignment="1">
      <alignment horizontal="right" vertical="center"/>
    </xf>
    <xf numFmtId="37" fontId="1" fillId="0" borderId="2" xfId="0" applyNumberFormat="1" applyFont="1" applyBorder="1" applyAlignment="1">
      <alignment horizontal="right" vertical="center"/>
    </xf>
    <xf numFmtId="14" fontId="0" fillId="0" borderId="0" xfId="0" applyNumberFormat="1"/>
    <xf numFmtId="4" fontId="1" fillId="0" borderId="0" xfId="0" applyNumberFormat="1" applyFont="1"/>
    <xf numFmtId="164" fontId="1" fillId="0" borderId="0" xfId="0" applyNumberFormat="1" applyFont="1"/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3" fontId="1" fillId="0" borderId="0" xfId="0" applyNumberFormat="1" applyFont="1"/>
    <xf numFmtId="3" fontId="1" fillId="0" borderId="1" xfId="0" applyNumberFormat="1" applyFont="1" applyBorder="1"/>
    <xf numFmtId="37" fontId="1" fillId="0" borderId="1" xfId="0" applyNumberFormat="1" applyFont="1" applyBorder="1"/>
    <xf numFmtId="3" fontId="2" fillId="0" borderId="0" xfId="0" applyNumberFormat="1" applyFont="1"/>
    <xf numFmtId="14" fontId="0" fillId="2" borderId="0" xfId="0" applyNumberFormat="1" applyFill="1"/>
    <xf numFmtId="0" fontId="0" fillId="2" borderId="0" xfId="0" applyFill="1"/>
    <xf numFmtId="39" fontId="0" fillId="2" borderId="0" xfId="0" applyNumberFormat="1" applyFill="1"/>
    <xf numFmtId="4" fontId="0" fillId="2" borderId="0" xfId="0" applyNumberFormat="1" applyFill="1"/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left"/>
    </xf>
    <xf numFmtId="164" fontId="7" fillId="0" borderId="0" xfId="0" applyNumberFormat="1" applyFont="1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37" fontId="0" fillId="0" borderId="0" xfId="0" applyNumberFormat="1" applyAlignment="1">
      <alignment horizontal="left" vertical="top" wrapText="1"/>
    </xf>
    <xf numFmtId="0" fontId="0" fillId="0" borderId="0" xfId="0" applyAlignment="1">
      <alignment vertical="center"/>
    </xf>
    <xf numFmtId="37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left" vertical="center" wrapText="1"/>
    </xf>
    <xf numFmtId="37" fontId="11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3" fontId="12" fillId="0" borderId="0" xfId="0" applyNumberFormat="1" applyFont="1"/>
    <xf numFmtId="37" fontId="13" fillId="0" borderId="2" xfId="0" applyNumberFormat="1" applyFont="1" applyBorder="1"/>
    <xf numFmtId="3" fontId="10" fillId="0" borderId="0" xfId="0" applyNumberFormat="1" applyFont="1"/>
    <xf numFmtId="3" fontId="14" fillId="0" borderId="1" xfId="0" applyNumberFormat="1" applyFont="1" applyBorder="1"/>
    <xf numFmtId="3" fontId="0" fillId="2" borderId="0" xfId="0" applyNumberFormat="1" applyFill="1"/>
    <xf numFmtId="37" fontId="0" fillId="2" borderId="0" xfId="0" applyNumberFormat="1" applyFill="1"/>
    <xf numFmtId="37" fontId="8" fillId="2" borderId="0" xfId="0" applyNumberFormat="1" applyFont="1" applyFill="1"/>
    <xf numFmtId="0" fontId="4" fillId="0" borderId="0" xfId="0" applyFont="1"/>
    <xf numFmtId="0" fontId="0" fillId="0" borderId="0" xfId="0"/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A0E6E-414E-1145-B84B-206A37336B32}">
  <sheetPr>
    <pageSetUpPr fitToPage="1"/>
  </sheetPr>
  <dimension ref="B2:G62"/>
  <sheetViews>
    <sheetView topLeftCell="A25" workbookViewId="0">
      <selection activeCell="I39" sqref="I39"/>
    </sheetView>
  </sheetViews>
  <sheetFormatPr defaultColWidth="11.25" defaultRowHeight="15.75" x14ac:dyDescent="0.25"/>
  <cols>
    <col min="1" max="1" width="3.625" customWidth="1"/>
    <col min="2" max="2" width="36.875" customWidth="1"/>
    <col min="3" max="3" width="12.125" style="1" bestFit="1" customWidth="1"/>
    <col min="4" max="4" width="39.625" style="1" bestFit="1" customWidth="1"/>
    <col min="5" max="5" width="12.25" style="1" bestFit="1" customWidth="1"/>
    <col min="6" max="6" width="11.25" style="1"/>
    <col min="7" max="7" width="12.25" style="1" bestFit="1" customWidth="1"/>
  </cols>
  <sheetData>
    <row r="2" spans="2:7" ht="26.25" x14ac:dyDescent="0.4">
      <c r="B2" s="80" t="s">
        <v>37</v>
      </c>
      <c r="C2" s="81"/>
      <c r="D2" s="30"/>
    </row>
    <row r="3" spans="2:7" ht="26.25" x14ac:dyDescent="0.4">
      <c r="B3" s="3" t="s">
        <v>156</v>
      </c>
      <c r="C3" s="26"/>
      <c r="D3" s="30"/>
    </row>
    <row r="4" spans="2:7" ht="26.25" x14ac:dyDescent="0.4">
      <c r="B4" s="3"/>
      <c r="C4" s="26"/>
      <c r="D4" s="30"/>
    </row>
    <row r="5" spans="2:7" ht="21" x14ac:dyDescent="0.35">
      <c r="C5" s="6" t="s">
        <v>0</v>
      </c>
      <c r="E5" s="4" t="s">
        <v>1</v>
      </c>
      <c r="G5" s="4" t="s">
        <v>1</v>
      </c>
    </row>
    <row r="6" spans="2:7" ht="21" x14ac:dyDescent="0.35">
      <c r="C6" s="6" t="s">
        <v>2</v>
      </c>
      <c r="E6" s="6" t="s">
        <v>3</v>
      </c>
      <c r="G6" s="6" t="s">
        <v>2</v>
      </c>
    </row>
    <row r="7" spans="2:7" ht="21" x14ac:dyDescent="0.35">
      <c r="C7" s="24" t="s">
        <v>4</v>
      </c>
      <c r="D7" s="6" t="s">
        <v>5</v>
      </c>
      <c r="E7" s="24" t="s">
        <v>4</v>
      </c>
      <c r="F7" s="6" t="s">
        <v>6</v>
      </c>
      <c r="G7" s="19" t="s">
        <v>7</v>
      </c>
    </row>
    <row r="9" spans="2:7" ht="21" x14ac:dyDescent="0.35">
      <c r="B9" s="3" t="s">
        <v>8</v>
      </c>
      <c r="G9" s="20"/>
    </row>
    <row r="11" spans="2:7" s="28" customFormat="1" ht="18.600000000000001" customHeight="1" x14ac:dyDescent="0.25">
      <c r="B11" s="28" t="s">
        <v>9</v>
      </c>
      <c r="C11" s="29">
        <v>6345</v>
      </c>
      <c r="D11" s="27" t="s">
        <v>71</v>
      </c>
      <c r="E11" s="38">
        <v>6345</v>
      </c>
      <c r="F11" s="39">
        <f>+G11-C11</f>
        <v>939</v>
      </c>
      <c r="G11" s="38">
        <v>7284</v>
      </c>
    </row>
    <row r="12" spans="2:7" x14ac:dyDescent="0.25">
      <c r="B12" t="s">
        <v>10</v>
      </c>
      <c r="C12" s="1">
        <v>0</v>
      </c>
      <c r="D12" s="1" t="s">
        <v>80</v>
      </c>
      <c r="E12" s="38"/>
      <c r="F12" s="38"/>
      <c r="G12" s="38">
        <v>0</v>
      </c>
    </row>
    <row r="13" spans="2:7" x14ac:dyDescent="0.25">
      <c r="B13" t="s">
        <v>11</v>
      </c>
      <c r="C13" s="1">
        <v>0</v>
      </c>
      <c r="D13" s="1" t="s">
        <v>72</v>
      </c>
      <c r="E13" s="38"/>
      <c r="F13" s="40"/>
      <c r="G13" s="38">
        <v>0</v>
      </c>
    </row>
    <row r="15" spans="2:7" ht="21" x14ac:dyDescent="0.35">
      <c r="C15" s="4">
        <f>SUM(C11:C14)</f>
        <v>6345</v>
      </c>
      <c r="E15" s="4">
        <f>SUM(E11:E14)</f>
        <v>6345</v>
      </c>
      <c r="F15" s="4">
        <f>SUM(F11:F14)</f>
        <v>939</v>
      </c>
      <c r="G15" s="4">
        <f>SUM(G11:G14)</f>
        <v>7284</v>
      </c>
    </row>
    <row r="16" spans="2:7" ht="21" x14ac:dyDescent="0.35">
      <c r="C16" s="4"/>
    </row>
    <row r="17" spans="2:7" ht="21" x14ac:dyDescent="0.35">
      <c r="B17" s="3" t="s">
        <v>12</v>
      </c>
    </row>
    <row r="19" spans="2:7" x14ac:dyDescent="0.25">
      <c r="B19" t="s">
        <v>13</v>
      </c>
      <c r="C19" s="36">
        <v>3300</v>
      </c>
      <c r="D19" s="1" t="s">
        <v>81</v>
      </c>
      <c r="E19" s="1">
        <f>295*12</f>
        <v>3540</v>
      </c>
      <c r="F19" s="23">
        <f>+G19-C19</f>
        <v>-289.74400000000014</v>
      </c>
      <c r="G19" s="1">
        <f>+E42+50</f>
        <v>3010.2559999999999</v>
      </c>
    </row>
    <row r="20" spans="2:7" x14ac:dyDescent="0.25">
      <c r="B20" t="s">
        <v>14</v>
      </c>
      <c r="C20" s="36">
        <v>0</v>
      </c>
      <c r="D20" s="1" t="s">
        <v>82</v>
      </c>
      <c r="E20" s="1">
        <f>+E19*0.2</f>
        <v>708</v>
      </c>
      <c r="F20" s="23">
        <f>+G20-C20</f>
        <v>740.06399999999996</v>
      </c>
      <c r="G20" s="1">
        <f>+E43</f>
        <v>740.06399999999996</v>
      </c>
    </row>
    <row r="21" spans="2:7" x14ac:dyDescent="0.25">
      <c r="B21" t="s">
        <v>15</v>
      </c>
      <c r="C21" s="36">
        <v>150</v>
      </c>
      <c r="D21" s="1" t="s">
        <v>90</v>
      </c>
      <c r="E21" s="1">
        <v>0</v>
      </c>
      <c r="F21" s="23">
        <f t="shared" ref="F21:F31" si="0">+G21-C21</f>
        <v>10</v>
      </c>
      <c r="G21" s="1">
        <v>160</v>
      </c>
    </row>
    <row r="22" spans="2:7" s="55" customFormat="1" x14ac:dyDescent="0.25">
      <c r="B22" s="55" t="s">
        <v>64</v>
      </c>
      <c r="C22" s="77">
        <v>300</v>
      </c>
      <c r="D22" s="78" t="s">
        <v>88</v>
      </c>
      <c r="E22" s="78">
        <v>500</v>
      </c>
      <c r="F22" s="79">
        <f t="shared" si="0"/>
        <v>200</v>
      </c>
      <c r="G22" s="78">
        <v>500</v>
      </c>
    </row>
    <row r="23" spans="2:7" x14ac:dyDescent="0.25">
      <c r="B23" t="s">
        <v>65</v>
      </c>
      <c r="C23" s="36">
        <v>220</v>
      </c>
      <c r="D23" s="1" t="s">
        <v>92</v>
      </c>
      <c r="E23" s="1">
        <v>268</v>
      </c>
      <c r="F23" s="23">
        <f t="shared" si="0"/>
        <v>60</v>
      </c>
      <c r="G23" s="1">
        <v>280</v>
      </c>
    </row>
    <row r="24" spans="2:7" x14ac:dyDescent="0.25">
      <c r="B24" t="s">
        <v>66</v>
      </c>
      <c r="C24" s="36">
        <v>60</v>
      </c>
      <c r="D24" s="1" t="s">
        <v>90</v>
      </c>
      <c r="E24" s="1">
        <v>0</v>
      </c>
      <c r="F24" s="23">
        <f t="shared" si="0"/>
        <v>5</v>
      </c>
      <c r="G24" s="1">
        <v>65</v>
      </c>
    </row>
    <row r="25" spans="2:7" x14ac:dyDescent="0.25">
      <c r="B25" t="s">
        <v>67</v>
      </c>
      <c r="C25" s="36">
        <v>280</v>
      </c>
      <c r="D25" s="1" t="s">
        <v>92</v>
      </c>
      <c r="E25" s="1">
        <v>300</v>
      </c>
      <c r="F25" s="23">
        <f t="shared" si="0"/>
        <v>40</v>
      </c>
      <c r="G25" s="1">
        <v>320</v>
      </c>
    </row>
    <row r="26" spans="2:7" x14ac:dyDescent="0.25">
      <c r="B26" t="s">
        <v>16</v>
      </c>
      <c r="C26" s="36">
        <v>350</v>
      </c>
      <c r="D26" s="1" t="s">
        <v>92</v>
      </c>
      <c r="E26" s="1">
        <v>374</v>
      </c>
      <c r="F26" s="23">
        <f t="shared" si="0"/>
        <v>50</v>
      </c>
      <c r="G26" s="1">
        <v>400</v>
      </c>
    </row>
    <row r="27" spans="2:7" x14ac:dyDescent="0.25">
      <c r="B27" t="s">
        <v>79</v>
      </c>
      <c r="C27" s="36">
        <v>750</v>
      </c>
      <c r="D27" s="1" t="s">
        <v>89</v>
      </c>
      <c r="E27" s="1">
        <v>0</v>
      </c>
      <c r="F27" s="23">
        <f t="shared" si="0"/>
        <v>0</v>
      </c>
      <c r="G27" s="1">
        <v>750</v>
      </c>
    </row>
    <row r="28" spans="2:7" x14ac:dyDescent="0.25">
      <c r="B28" t="s">
        <v>58</v>
      </c>
      <c r="C28" s="36">
        <v>120</v>
      </c>
      <c r="D28" s="1" t="s">
        <v>90</v>
      </c>
      <c r="E28" s="1">
        <v>118</v>
      </c>
      <c r="F28" s="23">
        <f t="shared" si="0"/>
        <v>10</v>
      </c>
      <c r="G28" s="1">
        <v>130</v>
      </c>
    </row>
    <row r="29" spans="2:7" x14ac:dyDescent="0.25">
      <c r="B29" t="s">
        <v>68</v>
      </c>
      <c r="C29" s="36">
        <v>175</v>
      </c>
      <c r="D29" s="1" t="s">
        <v>90</v>
      </c>
      <c r="E29" s="1">
        <v>0</v>
      </c>
      <c r="F29" s="23">
        <f t="shared" si="0"/>
        <v>10</v>
      </c>
      <c r="G29" s="1">
        <v>185</v>
      </c>
    </row>
    <row r="30" spans="2:7" x14ac:dyDescent="0.25">
      <c r="B30" t="s">
        <v>69</v>
      </c>
      <c r="C30" s="36">
        <v>0</v>
      </c>
      <c r="D30" s="1" t="s">
        <v>91</v>
      </c>
      <c r="E30" s="1">
        <v>0</v>
      </c>
      <c r="F30" s="23">
        <f t="shared" si="0"/>
        <v>0</v>
      </c>
      <c r="G30" s="1">
        <v>0</v>
      </c>
    </row>
    <row r="31" spans="2:7" x14ac:dyDescent="0.25">
      <c r="B31" t="s">
        <v>84</v>
      </c>
      <c r="C31" s="36">
        <v>500</v>
      </c>
      <c r="D31" s="1" t="s">
        <v>85</v>
      </c>
      <c r="E31" s="1">
        <v>250</v>
      </c>
      <c r="F31" s="23">
        <f t="shared" si="0"/>
        <v>0</v>
      </c>
      <c r="G31" s="1">
        <v>500</v>
      </c>
    </row>
    <row r="33" spans="2:7" s="10" customFormat="1" ht="21" x14ac:dyDescent="0.35">
      <c r="C33" s="4">
        <f>SUM(C19:C32)</f>
        <v>6205</v>
      </c>
      <c r="D33" s="18"/>
      <c r="E33" s="4">
        <f>SUM(E19:E32)</f>
        <v>6058</v>
      </c>
      <c r="F33" s="4">
        <f>SUM(F19:F32)</f>
        <v>835.31999999999982</v>
      </c>
      <c r="G33" s="4">
        <f>SUM(G19:G32)</f>
        <v>7040.32</v>
      </c>
    </row>
    <row r="35" spans="2:7" ht="21" x14ac:dyDescent="0.35">
      <c r="B35" s="3" t="s">
        <v>17</v>
      </c>
      <c r="C35" s="4">
        <f>+C15-C33</f>
        <v>140</v>
      </c>
      <c r="E35" s="4">
        <f>+E15-E33</f>
        <v>287</v>
      </c>
      <c r="F35" s="4"/>
      <c r="G35" s="4">
        <f>+G15-G33</f>
        <v>243.68000000000029</v>
      </c>
    </row>
    <row r="37" spans="2:7" x14ac:dyDescent="0.25">
      <c r="D37" s="26" t="s">
        <v>18</v>
      </c>
    </row>
    <row r="38" spans="2:7" x14ac:dyDescent="0.25">
      <c r="F38" s="20"/>
    </row>
    <row r="39" spans="2:7" x14ac:dyDescent="0.25">
      <c r="D39" s="1" t="s">
        <v>86</v>
      </c>
      <c r="E39" s="41">
        <v>17.79</v>
      </c>
      <c r="F39" s="20"/>
    </row>
    <row r="40" spans="2:7" x14ac:dyDescent="0.25">
      <c r="D40" s="1" t="s">
        <v>78</v>
      </c>
      <c r="E40" s="42">
        <f>+E39*4*52</f>
        <v>3700.3199999999997</v>
      </c>
    </row>
    <row r="41" spans="2:7" x14ac:dyDescent="0.25">
      <c r="E41" s="43"/>
    </row>
    <row r="42" spans="2:7" x14ac:dyDescent="0.25">
      <c r="D42" s="1" t="s">
        <v>83</v>
      </c>
      <c r="E42" s="43">
        <f>+E40*0.8</f>
        <v>2960.2559999999999</v>
      </c>
    </row>
    <row r="43" spans="2:7" x14ac:dyDescent="0.25">
      <c r="D43" s="1" t="s">
        <v>87</v>
      </c>
      <c r="E43" s="43">
        <f>+E40*0.2</f>
        <v>740.06399999999996</v>
      </c>
    </row>
    <row r="44" spans="2:7" x14ac:dyDescent="0.25">
      <c r="D44" s="1" t="s">
        <v>19</v>
      </c>
      <c r="E44" s="43">
        <v>50</v>
      </c>
    </row>
    <row r="45" spans="2:7" x14ac:dyDescent="0.25">
      <c r="D45" s="26" t="s">
        <v>20</v>
      </c>
      <c r="E45" s="44">
        <f>SUM(E42:E44)</f>
        <v>3750.3199999999997</v>
      </c>
    </row>
    <row r="48" spans="2:7" x14ac:dyDescent="0.25">
      <c r="D48" s="2" t="s">
        <v>140</v>
      </c>
      <c r="E48" s="7" t="s">
        <v>4</v>
      </c>
      <c r="F48" s="5" t="s">
        <v>6</v>
      </c>
      <c r="G48" s="7" t="s">
        <v>4</v>
      </c>
    </row>
    <row r="49" spans="4:7" x14ac:dyDescent="0.25">
      <c r="D49" s="1" t="s">
        <v>139</v>
      </c>
      <c r="E49"/>
      <c r="G49"/>
    </row>
    <row r="50" spans="4:7" x14ac:dyDescent="0.25">
      <c r="D50" s="35" t="s">
        <v>130</v>
      </c>
      <c r="E50" s="36">
        <v>79</v>
      </c>
      <c r="F50" s="36">
        <v>0</v>
      </c>
      <c r="G50" s="36">
        <f>+E50+F50</f>
        <v>79</v>
      </c>
    </row>
    <row r="51" spans="4:7" x14ac:dyDescent="0.25">
      <c r="D51" s="35" t="s">
        <v>131</v>
      </c>
      <c r="E51" s="36">
        <v>1213</v>
      </c>
      <c r="F51" s="36">
        <v>0</v>
      </c>
      <c r="G51" s="36">
        <f t="shared" ref="G51:G55" si="1">+E51+F51</f>
        <v>1213</v>
      </c>
    </row>
    <row r="52" spans="4:7" x14ac:dyDescent="0.25">
      <c r="D52" s="35" t="s">
        <v>132</v>
      </c>
      <c r="E52" s="36">
        <v>447</v>
      </c>
      <c r="F52" s="36">
        <v>0</v>
      </c>
      <c r="G52" s="36">
        <f t="shared" si="1"/>
        <v>447</v>
      </c>
    </row>
    <row r="53" spans="4:7" x14ac:dyDescent="0.25">
      <c r="D53" s="35" t="s">
        <v>133</v>
      </c>
      <c r="E53" s="36">
        <v>60</v>
      </c>
      <c r="F53" s="36">
        <v>0</v>
      </c>
      <c r="G53" s="36">
        <f t="shared" si="1"/>
        <v>60</v>
      </c>
    </row>
    <row r="54" spans="4:7" x14ac:dyDescent="0.25">
      <c r="D54" s="35" t="s">
        <v>126</v>
      </c>
      <c r="E54" s="36">
        <v>24000</v>
      </c>
      <c r="F54" s="36">
        <f>7357.25-4405.6-150-85.4</f>
        <v>2716.2499999999995</v>
      </c>
      <c r="G54" s="36">
        <f t="shared" si="1"/>
        <v>26716.25</v>
      </c>
    </row>
    <row r="55" spans="4:7" x14ac:dyDescent="0.25">
      <c r="D55" t="s">
        <v>134</v>
      </c>
      <c r="E55" s="36">
        <f>7150+6686+2349</f>
        <v>16185</v>
      </c>
      <c r="F55" s="36">
        <v>-3427</v>
      </c>
      <c r="G55" s="36">
        <f t="shared" si="1"/>
        <v>12758</v>
      </c>
    </row>
    <row r="56" spans="4:7" x14ac:dyDescent="0.25">
      <c r="D56"/>
      <c r="E56" s="51">
        <f>SUM(E50:E55)</f>
        <v>41984</v>
      </c>
      <c r="F56" s="36"/>
      <c r="G56" s="51">
        <f>SUM(G50:G55)</f>
        <v>41273.25</v>
      </c>
    </row>
    <row r="58" spans="4:7" x14ac:dyDescent="0.25">
      <c r="D58" s="26" t="s">
        <v>135</v>
      </c>
    </row>
    <row r="60" spans="4:7" x14ac:dyDescent="0.25">
      <c r="D60" s="1" t="s">
        <v>136</v>
      </c>
      <c r="E60" s="1">
        <f>+Cashbook!F9</f>
        <v>41983.85</v>
      </c>
      <c r="F60" s="1">
        <f>-39166-41</f>
        <v>-39207</v>
      </c>
      <c r="G60" s="36">
        <f>+Cashbook!J53-Cashbook!I76</f>
        <v>2469.4699999999957</v>
      </c>
    </row>
    <row r="61" spans="4:7" x14ac:dyDescent="0.25">
      <c r="D61" s="1" t="s">
        <v>137</v>
      </c>
      <c r="E61" s="1">
        <v>0</v>
      </c>
      <c r="F61" s="1">
        <v>38804</v>
      </c>
      <c r="G61" s="36">
        <f>+Cashbook!J65</f>
        <v>38803.550000000003</v>
      </c>
    </row>
    <row r="62" spans="4:7" x14ac:dyDescent="0.25">
      <c r="E62" s="52">
        <f>+E61+E60</f>
        <v>41983.85</v>
      </c>
      <c r="G62" s="52">
        <f>+G61+G60</f>
        <v>41273.019999999997</v>
      </c>
    </row>
  </sheetData>
  <mergeCells count="1">
    <mergeCell ref="B2:C2"/>
  </mergeCells>
  <pageMargins left="0.25" right="0.25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74B55-C0D2-4C4B-B4E0-CE28BBA835C1}">
  <sheetPr>
    <pageSetUpPr fitToPage="1"/>
  </sheetPr>
  <dimension ref="B3:M80"/>
  <sheetViews>
    <sheetView topLeftCell="B27" zoomScaleNormal="100" workbookViewId="0">
      <selection activeCell="J72" sqref="J72"/>
    </sheetView>
  </sheetViews>
  <sheetFormatPr defaultColWidth="11.25" defaultRowHeight="15.75" x14ac:dyDescent="0.25"/>
  <cols>
    <col min="1" max="1" width="2.25" customWidth="1"/>
    <col min="3" max="3" width="35.25" bestFit="1" customWidth="1"/>
    <col min="4" max="4" width="39" customWidth="1"/>
    <col min="5" max="5" width="10.75" bestFit="1" customWidth="1"/>
    <col min="6" max="6" width="14.5" bestFit="1" customWidth="1"/>
    <col min="7" max="7" width="13" customWidth="1"/>
    <col min="8" max="8" width="13.375" bestFit="1" customWidth="1"/>
    <col min="9" max="9" width="13.375" customWidth="1"/>
    <col min="10" max="10" width="14" bestFit="1" customWidth="1"/>
    <col min="11" max="11" width="12.25" bestFit="1" customWidth="1"/>
    <col min="12" max="12" width="14.5" bestFit="1" customWidth="1"/>
  </cols>
  <sheetData>
    <row r="3" spans="2:13" ht="21" x14ac:dyDescent="0.35">
      <c r="C3" s="3" t="s">
        <v>60</v>
      </c>
      <c r="D3" s="3"/>
      <c r="E3" s="3"/>
    </row>
    <row r="4" spans="2:13" ht="21" x14ac:dyDescent="0.35">
      <c r="C4" s="3"/>
      <c r="D4" s="3"/>
      <c r="E4" s="3"/>
    </row>
    <row r="5" spans="2:13" ht="21" x14ac:dyDescent="0.35">
      <c r="C5" s="3" t="s">
        <v>39</v>
      </c>
      <c r="D5" s="3"/>
      <c r="E5" s="3"/>
    </row>
    <row r="7" spans="2:13" x14ac:dyDescent="0.25">
      <c r="C7" s="2" t="s">
        <v>38</v>
      </c>
      <c r="D7" s="2"/>
      <c r="E7" s="2"/>
      <c r="F7" s="7" t="s">
        <v>30</v>
      </c>
      <c r="G7" s="7" t="s">
        <v>8</v>
      </c>
      <c r="H7" s="7" t="s">
        <v>12</v>
      </c>
      <c r="I7" s="7" t="s">
        <v>34</v>
      </c>
      <c r="J7" s="7" t="s">
        <v>31</v>
      </c>
      <c r="K7" s="7" t="s">
        <v>32</v>
      </c>
      <c r="L7" s="7" t="s">
        <v>33</v>
      </c>
      <c r="M7" s="7" t="s">
        <v>34</v>
      </c>
    </row>
    <row r="8" spans="2:13" x14ac:dyDescent="0.25">
      <c r="F8" s="7" t="s">
        <v>24</v>
      </c>
      <c r="G8" s="7" t="s">
        <v>24</v>
      </c>
      <c r="H8" s="7" t="s">
        <v>24</v>
      </c>
      <c r="I8" s="7" t="s">
        <v>24</v>
      </c>
      <c r="J8" s="7" t="s">
        <v>24</v>
      </c>
    </row>
    <row r="9" spans="2:13" x14ac:dyDescent="0.25">
      <c r="C9" s="2" t="s">
        <v>35</v>
      </c>
      <c r="D9" s="2"/>
      <c r="E9" s="2"/>
      <c r="F9" s="34">
        <v>41983.85</v>
      </c>
      <c r="G9" s="14"/>
      <c r="H9" s="14"/>
      <c r="I9" s="14"/>
      <c r="J9" s="14"/>
    </row>
    <row r="10" spans="2:13" x14ac:dyDescent="0.25">
      <c r="F10" s="14"/>
      <c r="G10" s="14"/>
      <c r="H10" s="14"/>
      <c r="I10" s="14"/>
      <c r="J10" s="14"/>
    </row>
    <row r="11" spans="2:13" x14ac:dyDescent="0.25">
      <c r="B11" s="45">
        <v>45385</v>
      </c>
      <c r="C11" t="s">
        <v>36</v>
      </c>
      <c r="D11" t="s">
        <v>51</v>
      </c>
      <c r="E11" t="s">
        <v>61</v>
      </c>
      <c r="F11" s="14"/>
      <c r="G11" s="14"/>
      <c r="H11" s="35">
        <v>-164.72</v>
      </c>
      <c r="I11" s="35"/>
      <c r="J11" s="14">
        <f>+F9+H11</f>
        <v>41819.129999999997</v>
      </c>
    </row>
    <row r="12" spans="2:13" x14ac:dyDescent="0.25">
      <c r="B12" s="45">
        <v>45385</v>
      </c>
      <c r="C12" t="s">
        <v>40</v>
      </c>
      <c r="D12" t="s">
        <v>52</v>
      </c>
      <c r="E12" t="s">
        <v>61</v>
      </c>
      <c r="F12" s="14"/>
      <c r="G12" s="32"/>
      <c r="H12" s="33">
        <v>-41.2</v>
      </c>
      <c r="I12" s="33"/>
      <c r="J12" s="14">
        <f>+J11+H12</f>
        <v>41777.93</v>
      </c>
    </row>
    <row r="13" spans="2:13" x14ac:dyDescent="0.25">
      <c r="B13" s="45">
        <v>45399</v>
      </c>
      <c r="C13" t="s">
        <v>41</v>
      </c>
      <c r="D13" t="s">
        <v>53</v>
      </c>
      <c r="E13" t="s">
        <v>61</v>
      </c>
      <c r="F13" s="14"/>
      <c r="G13" s="32"/>
      <c r="H13" s="33">
        <v>-250</v>
      </c>
      <c r="I13" s="33"/>
      <c r="J13" s="14">
        <f t="shared" ref="J13:J51" si="0">+J12+H13</f>
        <v>41527.93</v>
      </c>
    </row>
    <row r="14" spans="2:13" x14ac:dyDescent="0.25">
      <c r="B14" s="45">
        <v>45399</v>
      </c>
      <c r="C14" t="s">
        <v>42</v>
      </c>
      <c r="D14" t="s">
        <v>54</v>
      </c>
      <c r="E14" t="s">
        <v>61</v>
      </c>
      <c r="F14" s="14"/>
      <c r="G14" s="32"/>
      <c r="H14" s="33">
        <v>-151.26</v>
      </c>
      <c r="I14" s="33"/>
      <c r="J14" s="14">
        <f t="shared" si="0"/>
        <v>41376.67</v>
      </c>
    </row>
    <row r="15" spans="2:13" x14ac:dyDescent="0.25">
      <c r="B15" s="45">
        <v>45399</v>
      </c>
      <c r="C15" t="s">
        <v>43</v>
      </c>
      <c r="D15" t="s">
        <v>55</v>
      </c>
      <c r="E15" t="s">
        <v>61</v>
      </c>
      <c r="F15" s="14"/>
      <c r="G15" s="32"/>
      <c r="H15" s="33">
        <v>-87.25</v>
      </c>
      <c r="I15" s="33"/>
      <c r="J15" s="14">
        <f t="shared" si="0"/>
        <v>41289.42</v>
      </c>
    </row>
    <row r="16" spans="2:13" x14ac:dyDescent="0.25">
      <c r="B16" s="45">
        <v>45412</v>
      </c>
      <c r="C16" t="s">
        <v>44</v>
      </c>
      <c r="D16" t="s">
        <v>56</v>
      </c>
      <c r="E16" t="s">
        <v>62</v>
      </c>
      <c r="F16" s="14"/>
      <c r="G16" s="33">
        <v>6345</v>
      </c>
      <c r="H16" s="33"/>
      <c r="I16" s="33"/>
      <c r="J16" s="14">
        <f>+J15+G16</f>
        <v>47634.42</v>
      </c>
    </row>
    <row r="17" spans="2:10" x14ac:dyDescent="0.25">
      <c r="B17" s="45">
        <v>45419</v>
      </c>
      <c r="C17" t="s">
        <v>36</v>
      </c>
      <c r="D17" t="s">
        <v>51</v>
      </c>
      <c r="E17" t="s">
        <v>63</v>
      </c>
      <c r="F17" s="14"/>
      <c r="G17" s="32"/>
      <c r="H17" s="33">
        <v>-274.60000000000002</v>
      </c>
      <c r="I17" s="33"/>
      <c r="J17" s="14">
        <f t="shared" si="0"/>
        <v>47359.82</v>
      </c>
    </row>
    <row r="18" spans="2:10" x14ac:dyDescent="0.25">
      <c r="B18" s="45">
        <v>45419</v>
      </c>
      <c r="C18" t="s">
        <v>40</v>
      </c>
      <c r="D18" t="s">
        <v>52</v>
      </c>
      <c r="E18" t="s">
        <v>63</v>
      </c>
      <c r="F18" s="14"/>
      <c r="G18" s="32"/>
      <c r="H18" s="33">
        <v>-68.2</v>
      </c>
      <c r="I18" s="33"/>
      <c r="J18" s="14">
        <f t="shared" si="0"/>
        <v>47291.62</v>
      </c>
    </row>
    <row r="19" spans="2:10" s="55" customFormat="1" x14ac:dyDescent="0.25">
      <c r="B19" s="54">
        <v>45447</v>
      </c>
      <c r="C19" s="55" t="s">
        <v>45</v>
      </c>
      <c r="D19" s="55" t="s">
        <v>54</v>
      </c>
      <c r="E19" s="55" t="s">
        <v>63</v>
      </c>
      <c r="F19" s="56"/>
      <c r="G19" s="57"/>
      <c r="H19" s="58">
        <v>-223</v>
      </c>
      <c r="I19" s="58">
        <v>44.6</v>
      </c>
      <c r="J19" s="56">
        <f t="shared" si="0"/>
        <v>47068.62</v>
      </c>
    </row>
    <row r="20" spans="2:10" x14ac:dyDescent="0.25">
      <c r="B20" s="45">
        <v>45447</v>
      </c>
      <c r="C20" t="s">
        <v>36</v>
      </c>
      <c r="D20" t="s">
        <v>51</v>
      </c>
      <c r="E20" t="s">
        <v>63</v>
      </c>
      <c r="F20" s="14"/>
      <c r="G20" s="32"/>
      <c r="H20" s="33">
        <v>-192.24</v>
      </c>
      <c r="I20" s="33"/>
      <c r="J20" s="14">
        <f t="shared" si="0"/>
        <v>46876.380000000005</v>
      </c>
    </row>
    <row r="21" spans="2:10" x14ac:dyDescent="0.25">
      <c r="B21" s="45">
        <v>45447</v>
      </c>
      <c r="C21" t="s">
        <v>40</v>
      </c>
      <c r="D21" t="s">
        <v>52</v>
      </c>
      <c r="E21" t="s">
        <v>63</v>
      </c>
      <c r="F21" s="14"/>
      <c r="G21" s="32"/>
      <c r="H21" s="33">
        <v>-48</v>
      </c>
      <c r="I21" s="33"/>
      <c r="J21" s="14">
        <f t="shared" si="0"/>
        <v>46828.380000000005</v>
      </c>
    </row>
    <row r="22" spans="2:10" x14ac:dyDescent="0.25">
      <c r="B22" s="45">
        <v>45475</v>
      </c>
      <c r="C22" t="s">
        <v>36</v>
      </c>
      <c r="D22" t="s">
        <v>51</v>
      </c>
      <c r="E22" t="s">
        <v>63</v>
      </c>
      <c r="F22" s="14"/>
      <c r="G22" s="32"/>
      <c r="H22" s="33">
        <v>-414.04</v>
      </c>
      <c r="I22" s="33"/>
      <c r="J22" s="14">
        <f t="shared" si="0"/>
        <v>46414.340000000004</v>
      </c>
    </row>
    <row r="23" spans="2:10" x14ac:dyDescent="0.25">
      <c r="B23" s="45">
        <v>45484</v>
      </c>
      <c r="C23" t="s">
        <v>46</v>
      </c>
      <c r="D23" t="s">
        <v>57</v>
      </c>
      <c r="E23" t="s">
        <v>63</v>
      </c>
      <c r="F23" s="14"/>
      <c r="G23" s="32"/>
      <c r="H23" s="33">
        <v>-136.99</v>
      </c>
      <c r="I23" s="33"/>
      <c r="J23" s="14">
        <f t="shared" si="0"/>
        <v>46277.350000000006</v>
      </c>
    </row>
    <row r="24" spans="2:10" x14ac:dyDescent="0.25">
      <c r="B24" s="45">
        <v>45484</v>
      </c>
      <c r="C24" t="s">
        <v>47</v>
      </c>
      <c r="D24" t="s">
        <v>57</v>
      </c>
      <c r="E24" t="s">
        <v>63</v>
      </c>
      <c r="F24" s="14"/>
      <c r="G24" s="32"/>
      <c r="H24" s="33">
        <v>-15</v>
      </c>
      <c r="I24" s="33"/>
      <c r="J24" s="14">
        <f t="shared" si="0"/>
        <v>46262.350000000006</v>
      </c>
    </row>
    <row r="25" spans="2:10" x14ac:dyDescent="0.25">
      <c r="B25" s="45">
        <v>45484</v>
      </c>
      <c r="C25" t="s">
        <v>46</v>
      </c>
      <c r="D25" t="s">
        <v>57</v>
      </c>
      <c r="E25" t="s">
        <v>63</v>
      </c>
      <c r="F25" s="14"/>
      <c r="G25" s="32"/>
      <c r="H25" s="33">
        <v>-9.36</v>
      </c>
      <c r="I25" s="33"/>
      <c r="J25" s="14">
        <f t="shared" si="0"/>
        <v>46252.990000000005</v>
      </c>
    </row>
    <row r="26" spans="2:10" x14ac:dyDescent="0.25">
      <c r="B26" s="45">
        <v>45506</v>
      </c>
      <c r="C26" t="s">
        <v>36</v>
      </c>
      <c r="D26" t="s">
        <v>51</v>
      </c>
      <c r="E26" t="s">
        <v>63</v>
      </c>
      <c r="F26" s="14"/>
      <c r="G26" s="32"/>
      <c r="H26" s="33">
        <v>-297.44</v>
      </c>
      <c r="I26" s="33"/>
      <c r="J26" s="14">
        <f t="shared" si="0"/>
        <v>45955.55</v>
      </c>
    </row>
    <row r="27" spans="2:10" x14ac:dyDescent="0.25">
      <c r="B27" s="45">
        <v>45531</v>
      </c>
      <c r="C27" t="s">
        <v>48</v>
      </c>
      <c r="D27" t="s">
        <v>57</v>
      </c>
      <c r="E27" t="s">
        <v>63</v>
      </c>
      <c r="F27" s="14"/>
      <c r="G27" s="32"/>
      <c r="H27" s="33">
        <v>-200</v>
      </c>
      <c r="I27" s="33"/>
      <c r="J27" s="14">
        <f t="shared" si="0"/>
        <v>45755.55</v>
      </c>
    </row>
    <row r="28" spans="2:10" x14ac:dyDescent="0.25">
      <c r="B28" s="45">
        <v>45537</v>
      </c>
      <c r="C28" t="s">
        <v>36</v>
      </c>
      <c r="D28" t="s">
        <v>51</v>
      </c>
      <c r="E28" t="s">
        <v>63</v>
      </c>
      <c r="F28" s="14"/>
      <c r="G28" s="32"/>
      <c r="H28" s="33">
        <v>-247.24</v>
      </c>
      <c r="I28" s="33"/>
      <c r="J28" s="14">
        <f t="shared" si="0"/>
        <v>45508.310000000005</v>
      </c>
    </row>
    <row r="29" spans="2:10" x14ac:dyDescent="0.25">
      <c r="B29" s="45">
        <v>45565</v>
      </c>
      <c r="C29" t="s">
        <v>40</v>
      </c>
      <c r="D29" t="s">
        <v>52</v>
      </c>
      <c r="E29" t="s">
        <v>63</v>
      </c>
      <c r="F29" s="14"/>
      <c r="G29" s="32"/>
      <c r="H29" s="33">
        <v>-50.2</v>
      </c>
      <c r="I29" s="33"/>
      <c r="J29" s="14">
        <f t="shared" si="0"/>
        <v>45458.110000000008</v>
      </c>
    </row>
    <row r="30" spans="2:10" x14ac:dyDescent="0.25">
      <c r="B30" s="45">
        <v>45565</v>
      </c>
      <c r="C30" t="s">
        <v>36</v>
      </c>
      <c r="D30" t="s">
        <v>51</v>
      </c>
      <c r="E30" t="s">
        <v>63</v>
      </c>
      <c r="F30" s="14"/>
      <c r="G30" s="32"/>
      <c r="H30" s="33">
        <v>-247.24</v>
      </c>
      <c r="I30" s="33"/>
      <c r="J30" s="14">
        <f t="shared" si="0"/>
        <v>45210.87000000001</v>
      </c>
    </row>
    <row r="31" spans="2:10" x14ac:dyDescent="0.25">
      <c r="B31" s="45">
        <v>45565</v>
      </c>
      <c r="C31" t="s">
        <v>40</v>
      </c>
      <c r="D31" t="s">
        <v>52</v>
      </c>
      <c r="E31" t="s">
        <v>63</v>
      </c>
      <c r="F31" s="14"/>
      <c r="G31" s="32"/>
      <c r="H31" s="33">
        <v>-50.2</v>
      </c>
      <c r="I31" s="33"/>
      <c r="J31" s="14">
        <f t="shared" si="0"/>
        <v>45160.670000000013</v>
      </c>
    </row>
    <row r="32" spans="2:10" x14ac:dyDescent="0.25">
      <c r="B32" s="45">
        <v>45565</v>
      </c>
      <c r="C32" t="s">
        <v>75</v>
      </c>
      <c r="D32" t="s">
        <v>74</v>
      </c>
      <c r="E32" t="s">
        <v>63</v>
      </c>
      <c r="F32" s="14"/>
      <c r="G32" s="32"/>
      <c r="H32" s="33">
        <v>-374.12</v>
      </c>
      <c r="I32" s="33"/>
      <c r="J32" s="14">
        <f t="shared" si="0"/>
        <v>44786.55000000001</v>
      </c>
    </row>
    <row r="33" spans="2:11" s="55" customFormat="1" x14ac:dyDescent="0.25">
      <c r="B33" s="54">
        <v>45579</v>
      </c>
      <c r="C33" s="59" t="s">
        <v>49</v>
      </c>
      <c r="D33" s="59" t="s">
        <v>58</v>
      </c>
      <c r="E33" s="59" t="s">
        <v>61</v>
      </c>
      <c r="F33" s="56"/>
      <c r="G33" s="57"/>
      <c r="H33" s="58">
        <v>-98</v>
      </c>
      <c r="I33" s="58">
        <v>19.600000000000001</v>
      </c>
      <c r="J33" s="56">
        <f t="shared" si="0"/>
        <v>44688.55000000001</v>
      </c>
    </row>
    <row r="34" spans="2:11" s="55" customFormat="1" x14ac:dyDescent="0.25">
      <c r="B34" s="54">
        <v>45595</v>
      </c>
      <c r="C34" s="59" t="s">
        <v>50</v>
      </c>
      <c r="D34" s="59" t="s">
        <v>59</v>
      </c>
      <c r="E34" s="59" t="s">
        <v>61</v>
      </c>
      <c r="F34" s="56"/>
      <c r="G34" s="57"/>
      <c r="H34" s="58">
        <v>-50</v>
      </c>
      <c r="I34" s="58">
        <v>10</v>
      </c>
      <c r="J34" s="56">
        <f t="shared" si="0"/>
        <v>44638.55000000001</v>
      </c>
    </row>
    <row r="35" spans="2:11" x14ac:dyDescent="0.25">
      <c r="B35" s="45">
        <v>45596</v>
      </c>
      <c r="C35" t="s">
        <v>93</v>
      </c>
      <c r="D35" t="s">
        <v>51</v>
      </c>
      <c r="E35" t="s">
        <v>61</v>
      </c>
      <c r="F35" s="14"/>
      <c r="G35" s="14"/>
      <c r="H35" s="14">
        <v>-297.04000000000002</v>
      </c>
      <c r="I35" s="14"/>
      <c r="J35" s="14">
        <f t="shared" si="0"/>
        <v>44341.510000000009</v>
      </c>
    </row>
    <row r="36" spans="2:11" x14ac:dyDescent="0.25">
      <c r="B36" s="45">
        <v>45596</v>
      </c>
      <c r="C36" t="s">
        <v>40</v>
      </c>
      <c r="D36" t="s">
        <v>52</v>
      </c>
      <c r="E36" t="s">
        <v>61</v>
      </c>
      <c r="F36" s="14"/>
      <c r="G36" s="14"/>
      <c r="H36" s="14">
        <v>-0.4</v>
      </c>
      <c r="I36" s="14"/>
      <c r="J36" s="14">
        <f t="shared" si="0"/>
        <v>44341.110000000008</v>
      </c>
    </row>
    <row r="37" spans="2:11" x14ac:dyDescent="0.25">
      <c r="B37" s="45">
        <v>45626</v>
      </c>
      <c r="C37" t="s">
        <v>36</v>
      </c>
      <c r="D37" t="s">
        <v>51</v>
      </c>
      <c r="E37" t="s">
        <v>61</v>
      </c>
      <c r="F37" s="14"/>
      <c r="G37" s="14"/>
      <c r="H37" s="14">
        <v>-367</v>
      </c>
      <c r="I37" s="14"/>
      <c r="J37" s="14">
        <f t="shared" si="0"/>
        <v>43974.110000000008</v>
      </c>
    </row>
    <row r="38" spans="2:11" x14ac:dyDescent="0.25">
      <c r="B38" s="45">
        <v>45657</v>
      </c>
      <c r="C38" t="s">
        <v>36</v>
      </c>
      <c r="D38" t="s">
        <v>51</v>
      </c>
      <c r="E38" t="s">
        <v>61</v>
      </c>
      <c r="F38" s="14"/>
      <c r="G38" s="14"/>
      <c r="H38" s="14">
        <v>-376.76</v>
      </c>
      <c r="I38" s="14"/>
      <c r="J38" s="14">
        <f t="shared" si="0"/>
        <v>43597.350000000006</v>
      </c>
    </row>
    <row r="39" spans="2:11" x14ac:dyDescent="0.25">
      <c r="B39" s="45">
        <v>45666</v>
      </c>
      <c r="C39" t="s">
        <v>94</v>
      </c>
      <c r="D39" t="s">
        <v>95</v>
      </c>
      <c r="E39" t="s">
        <v>61</v>
      </c>
      <c r="F39" s="14"/>
      <c r="G39" s="14"/>
      <c r="H39" s="14">
        <v>-33523.15</v>
      </c>
      <c r="I39" s="14"/>
      <c r="J39" s="14">
        <f t="shared" si="0"/>
        <v>10074.200000000004</v>
      </c>
      <c r="K39" s="14" t="s">
        <v>73</v>
      </c>
    </row>
    <row r="40" spans="2:11" x14ac:dyDescent="0.25">
      <c r="B40" s="45">
        <v>45670</v>
      </c>
      <c r="C40" t="s">
        <v>97</v>
      </c>
      <c r="D40" t="s">
        <v>96</v>
      </c>
      <c r="E40" t="s">
        <v>61</v>
      </c>
      <c r="F40" s="14"/>
      <c r="G40" s="14"/>
      <c r="H40" s="14">
        <v>-150</v>
      </c>
      <c r="I40" s="14"/>
      <c r="J40" s="14">
        <f t="shared" si="0"/>
        <v>9924.2000000000044</v>
      </c>
      <c r="K40" s="14"/>
    </row>
    <row r="41" spans="2:11" x14ac:dyDescent="0.25">
      <c r="B41" s="45">
        <v>45678</v>
      </c>
      <c r="C41" t="s">
        <v>100</v>
      </c>
      <c r="D41" t="s">
        <v>99</v>
      </c>
      <c r="E41" t="s">
        <v>61</v>
      </c>
      <c r="F41" s="14"/>
      <c r="G41" s="14"/>
      <c r="H41" s="14">
        <v>-85.4</v>
      </c>
      <c r="I41" s="14"/>
      <c r="J41" s="14">
        <f t="shared" si="0"/>
        <v>9838.8000000000047</v>
      </c>
      <c r="K41" s="14"/>
    </row>
    <row r="42" spans="2:11" x14ac:dyDescent="0.25">
      <c r="B42" s="45">
        <v>45678</v>
      </c>
      <c r="C42" t="s">
        <v>100</v>
      </c>
      <c r="D42" t="s">
        <v>99</v>
      </c>
      <c r="E42" t="s">
        <v>61</v>
      </c>
      <c r="F42" s="14"/>
      <c r="G42" s="14"/>
      <c r="H42" s="14">
        <v>-600</v>
      </c>
      <c r="I42" s="14"/>
      <c r="J42" s="14">
        <f t="shared" si="0"/>
        <v>9238.8000000000047</v>
      </c>
      <c r="K42" s="14"/>
    </row>
    <row r="43" spans="2:11" s="55" customFormat="1" x14ac:dyDescent="0.25">
      <c r="B43" s="54">
        <v>45688</v>
      </c>
      <c r="C43" s="55" t="s">
        <v>101</v>
      </c>
      <c r="D43" s="55" t="s">
        <v>98</v>
      </c>
      <c r="E43" s="55" t="s">
        <v>61</v>
      </c>
      <c r="F43" s="56"/>
      <c r="G43" s="56"/>
      <c r="H43" s="56">
        <v>-66.900000000000006</v>
      </c>
      <c r="I43" s="56">
        <v>13.38</v>
      </c>
      <c r="J43" s="56">
        <f t="shared" si="0"/>
        <v>9171.9000000000051</v>
      </c>
      <c r="K43" s="56"/>
    </row>
    <row r="44" spans="2:11" x14ac:dyDescent="0.25">
      <c r="B44" s="45">
        <v>45688</v>
      </c>
      <c r="C44" t="s">
        <v>36</v>
      </c>
      <c r="D44" t="s">
        <v>51</v>
      </c>
      <c r="E44" t="s">
        <v>61</v>
      </c>
      <c r="F44" s="14"/>
      <c r="G44" s="14"/>
      <c r="H44" s="14">
        <v>-308.36</v>
      </c>
      <c r="I44" s="14"/>
      <c r="J44" s="14">
        <f t="shared" si="0"/>
        <v>8863.5400000000045</v>
      </c>
    </row>
    <row r="45" spans="2:11" x14ac:dyDescent="0.25">
      <c r="B45" s="45">
        <v>45705</v>
      </c>
      <c r="C45" t="s">
        <v>108</v>
      </c>
      <c r="D45" t="s">
        <v>109</v>
      </c>
      <c r="E45" t="s">
        <v>61</v>
      </c>
      <c r="F45" s="14"/>
      <c r="G45" s="14"/>
      <c r="H45" s="14">
        <v>-7719.6</v>
      </c>
      <c r="I45" s="14"/>
      <c r="J45" s="14">
        <f t="shared" si="0"/>
        <v>1143.9400000000041</v>
      </c>
    </row>
    <row r="46" spans="2:11" x14ac:dyDescent="0.25">
      <c r="B46" s="45">
        <v>45705</v>
      </c>
      <c r="C46" t="s">
        <v>110</v>
      </c>
      <c r="D46" t="s">
        <v>111</v>
      </c>
      <c r="E46" t="s">
        <v>61</v>
      </c>
      <c r="F46" s="14"/>
      <c r="G46" s="14">
        <v>7719.6</v>
      </c>
      <c r="J46" s="14">
        <f>+J45+G46</f>
        <v>8863.5400000000045</v>
      </c>
    </row>
    <row r="47" spans="2:11" x14ac:dyDescent="0.25">
      <c r="B47" s="45">
        <v>45712</v>
      </c>
      <c r="C47" t="s">
        <v>112</v>
      </c>
      <c r="D47" t="s">
        <v>113</v>
      </c>
      <c r="E47" t="s">
        <v>114</v>
      </c>
      <c r="F47" s="14"/>
      <c r="G47" s="14">
        <v>7357.23</v>
      </c>
      <c r="J47" s="14">
        <f>+J46+G47</f>
        <v>16220.770000000004</v>
      </c>
    </row>
    <row r="48" spans="2:11" x14ac:dyDescent="0.25">
      <c r="B48" s="45">
        <v>45719</v>
      </c>
      <c r="C48" t="s">
        <v>36</v>
      </c>
      <c r="D48" t="s">
        <v>51</v>
      </c>
      <c r="E48" t="s">
        <v>61</v>
      </c>
      <c r="F48" s="14"/>
      <c r="G48" s="14"/>
      <c r="H48" s="14">
        <v>-308.36</v>
      </c>
      <c r="I48" s="14"/>
      <c r="J48" s="14">
        <f t="shared" si="0"/>
        <v>15912.410000000003</v>
      </c>
    </row>
    <row r="49" spans="2:12" x14ac:dyDescent="0.25">
      <c r="B49" s="45">
        <v>45720</v>
      </c>
      <c r="C49" t="s">
        <v>115</v>
      </c>
      <c r="D49" t="s">
        <v>115</v>
      </c>
      <c r="E49" t="s">
        <v>61</v>
      </c>
      <c r="F49" s="14"/>
      <c r="G49" s="14"/>
      <c r="H49" s="14">
        <v>-13000</v>
      </c>
      <c r="I49" s="14"/>
      <c r="J49" s="14">
        <f t="shared" si="0"/>
        <v>2912.4100000000035</v>
      </c>
    </row>
    <row r="50" spans="2:12" x14ac:dyDescent="0.25">
      <c r="B50" s="45">
        <v>45727</v>
      </c>
      <c r="C50" t="s">
        <v>116</v>
      </c>
      <c r="D50" t="s">
        <v>117</v>
      </c>
      <c r="E50" t="s">
        <v>118</v>
      </c>
      <c r="F50" s="14"/>
      <c r="G50" s="14"/>
      <c r="H50" s="14">
        <v>-47</v>
      </c>
      <c r="I50" s="14"/>
      <c r="J50" s="14">
        <f t="shared" si="0"/>
        <v>2865.4100000000035</v>
      </c>
    </row>
    <row r="51" spans="2:12" x14ac:dyDescent="0.25">
      <c r="B51" s="45">
        <v>45742</v>
      </c>
      <c r="C51" t="s">
        <v>36</v>
      </c>
      <c r="D51" t="s">
        <v>51</v>
      </c>
      <c r="E51" t="s">
        <v>61</v>
      </c>
      <c r="F51" s="14"/>
      <c r="G51" s="14"/>
      <c r="H51" s="14">
        <v>-308.36</v>
      </c>
      <c r="I51" s="14"/>
      <c r="J51" s="14">
        <f t="shared" si="0"/>
        <v>2557.0500000000034</v>
      </c>
    </row>
    <row r="53" spans="2:12" ht="18.75" x14ac:dyDescent="0.3">
      <c r="F53" s="15">
        <f>SUM(F9:F52)</f>
        <v>41983.85</v>
      </c>
      <c r="G53" s="15">
        <f t="shared" ref="G53:I53" si="1">SUM(G9:G52)</f>
        <v>21421.83</v>
      </c>
      <c r="H53" s="15">
        <f t="shared" si="1"/>
        <v>-60848.630000000005</v>
      </c>
      <c r="I53" s="15">
        <f t="shared" si="1"/>
        <v>87.58</v>
      </c>
      <c r="J53" s="16">
        <f>+F53+G53+H53</f>
        <v>2557.0499999999956</v>
      </c>
    </row>
    <row r="54" spans="2:12" x14ac:dyDescent="0.25">
      <c r="F54" s="14"/>
      <c r="G54" s="14"/>
      <c r="H54" s="14"/>
      <c r="I54" s="14"/>
      <c r="J54" s="31"/>
      <c r="K54" s="2"/>
      <c r="L54" s="14"/>
    </row>
    <row r="55" spans="2:12" x14ac:dyDescent="0.25">
      <c r="C55" s="2"/>
      <c r="D55" s="2"/>
      <c r="E55" s="2"/>
      <c r="F55" s="14"/>
      <c r="G55" s="14"/>
      <c r="H55" s="14"/>
      <c r="I55" s="14"/>
    </row>
    <row r="56" spans="2:12" x14ac:dyDescent="0.25">
      <c r="C56" s="2" t="s">
        <v>102</v>
      </c>
      <c r="D56" s="2"/>
      <c r="E56" s="2"/>
      <c r="F56" s="7" t="s">
        <v>30</v>
      </c>
      <c r="G56" s="7" t="s">
        <v>8</v>
      </c>
      <c r="H56" s="7" t="s">
        <v>12</v>
      </c>
      <c r="I56" s="7" t="s">
        <v>34</v>
      </c>
      <c r="J56" s="7" t="s">
        <v>31</v>
      </c>
    </row>
    <row r="57" spans="2:12" x14ac:dyDescent="0.25">
      <c r="F57" s="7" t="s">
        <v>24</v>
      </c>
      <c r="G57" s="7" t="s">
        <v>24</v>
      </c>
      <c r="H57" s="7" t="s">
        <v>24</v>
      </c>
      <c r="I57" s="7" t="s">
        <v>24</v>
      </c>
      <c r="J57" s="7" t="s">
        <v>24</v>
      </c>
    </row>
    <row r="58" spans="2:12" x14ac:dyDescent="0.25">
      <c r="C58" s="2" t="s">
        <v>35</v>
      </c>
      <c r="D58" s="2"/>
      <c r="E58" s="2"/>
      <c r="F58" s="34">
        <v>0</v>
      </c>
      <c r="G58" s="14"/>
      <c r="H58" s="14"/>
      <c r="I58" s="14"/>
      <c r="J58" s="14"/>
    </row>
    <row r="59" spans="2:12" x14ac:dyDescent="0.25">
      <c r="F59" s="14"/>
      <c r="G59" s="14"/>
      <c r="H59" s="14"/>
      <c r="I59" s="14"/>
      <c r="J59" s="14"/>
    </row>
    <row r="60" spans="2:12" x14ac:dyDescent="0.25">
      <c r="B60" s="45">
        <v>45666</v>
      </c>
      <c r="C60" t="s">
        <v>103</v>
      </c>
      <c r="D60" t="s">
        <v>104</v>
      </c>
      <c r="E60" t="s">
        <v>61</v>
      </c>
      <c r="F60" s="14"/>
      <c r="G60" s="14">
        <v>33523.15</v>
      </c>
      <c r="J60" s="14">
        <f>+F58+G60</f>
        <v>33523.15</v>
      </c>
    </row>
    <row r="61" spans="2:12" x14ac:dyDescent="0.25">
      <c r="B61" s="45">
        <v>45705</v>
      </c>
      <c r="C61" t="s">
        <v>120</v>
      </c>
      <c r="D61" t="s">
        <v>119</v>
      </c>
      <c r="E61" t="s">
        <v>61</v>
      </c>
      <c r="F61" s="14"/>
      <c r="G61" s="14"/>
      <c r="H61">
        <v>-7719.6</v>
      </c>
      <c r="J61" s="14">
        <f>+J60+H61</f>
        <v>25803.550000000003</v>
      </c>
    </row>
    <row r="62" spans="2:12" x14ac:dyDescent="0.25">
      <c r="B62" s="45">
        <v>45720</v>
      </c>
      <c r="C62" t="s">
        <v>103</v>
      </c>
      <c r="D62" t="s">
        <v>104</v>
      </c>
      <c r="E62" t="s">
        <v>61</v>
      </c>
      <c r="F62" s="14"/>
      <c r="G62" s="14">
        <v>13000</v>
      </c>
      <c r="J62" s="14">
        <f>+J61+G62</f>
        <v>38803.550000000003</v>
      </c>
    </row>
    <row r="63" spans="2:12" x14ac:dyDescent="0.25">
      <c r="F63" s="14"/>
      <c r="G63" s="14"/>
      <c r="H63" s="14"/>
      <c r="I63" s="14"/>
      <c r="J63" s="14"/>
    </row>
    <row r="64" spans="2:12" x14ac:dyDescent="0.25">
      <c r="F64" s="14"/>
      <c r="G64" s="14"/>
      <c r="H64" s="14"/>
      <c r="I64" s="14"/>
      <c r="J64" s="14"/>
    </row>
    <row r="65" spans="3:10" x14ac:dyDescent="0.25">
      <c r="C65" s="2" t="s">
        <v>29</v>
      </c>
      <c r="F65" s="15">
        <f t="shared" ref="F65:H65" si="2">SUM(F60:F63)</f>
        <v>0</v>
      </c>
      <c r="G65" s="15">
        <f t="shared" si="2"/>
        <v>46523.15</v>
      </c>
      <c r="H65" s="15">
        <f t="shared" si="2"/>
        <v>-7719.6</v>
      </c>
      <c r="I65" s="15"/>
      <c r="J65" s="15">
        <f>+F65+G65+H65</f>
        <v>38803.550000000003</v>
      </c>
    </row>
    <row r="66" spans="3:10" x14ac:dyDescent="0.25">
      <c r="C66" s="2"/>
      <c r="F66" s="14"/>
      <c r="G66" s="15"/>
      <c r="H66" s="15"/>
      <c r="I66" s="15"/>
      <c r="J66" s="15"/>
    </row>
    <row r="67" spans="3:10" x14ac:dyDescent="0.25">
      <c r="F67" s="14"/>
      <c r="G67" s="14"/>
      <c r="H67" s="14"/>
      <c r="I67" s="14"/>
      <c r="J67" s="14"/>
    </row>
    <row r="68" spans="3:10" ht="18.75" x14ac:dyDescent="0.3">
      <c r="C68" s="2" t="s">
        <v>105</v>
      </c>
      <c r="G68" s="48" t="s">
        <v>8</v>
      </c>
      <c r="H68" s="48" t="s">
        <v>12</v>
      </c>
      <c r="I68" s="48" t="s">
        <v>34</v>
      </c>
      <c r="J68" s="49" t="s">
        <v>124</v>
      </c>
    </row>
    <row r="70" spans="3:10" x14ac:dyDescent="0.25">
      <c r="C70" s="2" t="s">
        <v>106</v>
      </c>
      <c r="F70" s="46">
        <f>+F9+F58</f>
        <v>41983.85</v>
      </c>
    </row>
    <row r="72" spans="3:10" x14ac:dyDescent="0.25">
      <c r="C72" t="s">
        <v>122</v>
      </c>
      <c r="G72" s="20">
        <f>+G53+G65</f>
        <v>67944.98000000001</v>
      </c>
      <c r="I72" s="20">
        <f>+I53</f>
        <v>87.58</v>
      </c>
      <c r="J72" s="20">
        <f>+I72</f>
        <v>87.58</v>
      </c>
    </row>
    <row r="73" spans="3:10" x14ac:dyDescent="0.25">
      <c r="C73" t="s">
        <v>123</v>
      </c>
      <c r="H73" s="20">
        <f>+H53+H65</f>
        <v>-68568.23000000001</v>
      </c>
    </row>
    <row r="74" spans="3:10" x14ac:dyDescent="0.25">
      <c r="C74" t="s">
        <v>121</v>
      </c>
      <c r="G74" s="20">
        <f>-G60-G62-G46</f>
        <v>-54242.75</v>
      </c>
      <c r="H74" s="20">
        <f>+-H61-H49-H39</f>
        <v>54242.75</v>
      </c>
    </row>
    <row r="76" spans="3:10" ht="18.75" x14ac:dyDescent="0.3">
      <c r="C76" s="2" t="s">
        <v>107</v>
      </c>
      <c r="F76" s="47">
        <f>SUM(F70:F74)</f>
        <v>41983.85</v>
      </c>
      <c r="G76" s="47">
        <f>SUM(G70:G74)</f>
        <v>13702.23000000001</v>
      </c>
      <c r="H76" s="47">
        <f>SUM(H70:H74)</f>
        <v>-14325.48000000001</v>
      </c>
      <c r="I76" s="47">
        <f>SUM(I70:I72)</f>
        <v>87.58</v>
      </c>
      <c r="J76" s="60">
        <f>+J65+J53-J72</f>
        <v>41273.019999999997</v>
      </c>
    </row>
    <row r="78" spans="3:10" x14ac:dyDescent="0.25">
      <c r="J78" s="20"/>
    </row>
    <row r="80" spans="3:10" x14ac:dyDescent="0.25">
      <c r="J80" s="20"/>
    </row>
  </sheetData>
  <pageMargins left="0.7" right="0.7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DA89B-0D51-8E4E-9BA6-38BD142BBD9A}">
  <sheetPr>
    <pageSetUpPr fitToPage="1"/>
  </sheetPr>
  <dimension ref="B2:H56"/>
  <sheetViews>
    <sheetView tabSelected="1" topLeftCell="A37" workbookViewId="0">
      <selection activeCell="K17" sqref="K17"/>
    </sheetView>
  </sheetViews>
  <sheetFormatPr defaultColWidth="11.25" defaultRowHeight="15.75" x14ac:dyDescent="0.25"/>
  <cols>
    <col min="1" max="1" width="6.25" customWidth="1"/>
    <col min="2" max="2" width="39" customWidth="1"/>
    <col min="3" max="3" width="11.25" bestFit="1" customWidth="1"/>
    <col min="5" max="5" width="10.875" style="1" bestFit="1" customWidth="1"/>
    <col min="6" max="6" width="12.125" bestFit="1" customWidth="1"/>
    <col min="7" max="7" width="11.75" bestFit="1" customWidth="1"/>
    <col min="8" max="8" width="32.875" style="61" customWidth="1"/>
  </cols>
  <sheetData>
    <row r="2" spans="2:8" ht="26.25" x14ac:dyDescent="0.4">
      <c r="B2" s="9" t="s">
        <v>77</v>
      </c>
    </row>
    <row r="3" spans="2:8" ht="26.25" x14ac:dyDescent="0.4">
      <c r="B3" s="9" t="s">
        <v>151</v>
      </c>
    </row>
    <row r="4" spans="2:8" ht="26.25" x14ac:dyDescent="0.4">
      <c r="B4" s="9" t="s">
        <v>144</v>
      </c>
      <c r="E4" s="8" t="s">
        <v>152</v>
      </c>
    </row>
    <row r="5" spans="2:8" x14ac:dyDescent="0.25">
      <c r="C5" s="1"/>
    </row>
    <row r="6" spans="2:8" s="2" customFormat="1" x14ac:dyDescent="0.25">
      <c r="C6" s="5" t="s">
        <v>21</v>
      </c>
      <c r="D6" s="7"/>
      <c r="E6" s="5" t="s">
        <v>2</v>
      </c>
      <c r="F6" s="7" t="s">
        <v>3</v>
      </c>
      <c r="G6" s="7" t="s">
        <v>22</v>
      </c>
      <c r="H6" s="62" t="s">
        <v>23</v>
      </c>
    </row>
    <row r="7" spans="2:8" s="2" customFormat="1" ht="21" x14ac:dyDescent="0.35">
      <c r="C7" s="6" t="s">
        <v>24</v>
      </c>
      <c r="D7"/>
      <c r="E7" s="6" t="s">
        <v>24</v>
      </c>
      <c r="F7" s="6" t="s">
        <v>24</v>
      </c>
      <c r="G7" s="6" t="s">
        <v>24</v>
      </c>
      <c r="H7" s="62"/>
    </row>
    <row r="8" spans="2:8" s="2" customFormat="1" x14ac:dyDescent="0.25">
      <c r="C8" s="5"/>
      <c r="D8" s="7"/>
      <c r="E8" s="5"/>
      <c r="H8" s="62"/>
    </row>
    <row r="9" spans="2:8" s="2" customFormat="1" ht="18.75" x14ac:dyDescent="0.3">
      <c r="B9" s="2" t="s">
        <v>25</v>
      </c>
      <c r="C9" s="17">
        <f>+Cashbook!F9</f>
        <v>41983.85</v>
      </c>
      <c r="D9" s="7"/>
      <c r="E9" s="5"/>
      <c r="H9" s="62"/>
    </row>
    <row r="10" spans="2:8" x14ac:dyDescent="0.25">
      <c r="C10" s="1"/>
    </row>
    <row r="11" spans="2:8" ht="21" x14ac:dyDescent="0.35">
      <c r="B11" s="3" t="s">
        <v>8</v>
      </c>
    </row>
    <row r="12" spans="2:8" x14ac:dyDescent="0.25">
      <c r="B12" t="s">
        <v>9</v>
      </c>
      <c r="C12" s="29">
        <v>6345</v>
      </c>
      <c r="E12" s="1">
        <v>6345</v>
      </c>
      <c r="F12" s="29">
        <v>6345</v>
      </c>
      <c r="G12" s="1">
        <v>0</v>
      </c>
    </row>
    <row r="13" spans="2:8" x14ac:dyDescent="0.25">
      <c r="B13" t="s">
        <v>10</v>
      </c>
      <c r="C13" s="1">
        <v>0</v>
      </c>
      <c r="E13" s="1">
        <f>+C13/12*3</f>
        <v>0</v>
      </c>
      <c r="F13">
        <v>0</v>
      </c>
      <c r="G13" s="1">
        <f t="shared" ref="G13:G16" si="0">+F13-E13</f>
        <v>0</v>
      </c>
    </row>
    <row r="14" spans="2:8" s="65" customFormat="1" x14ac:dyDescent="0.25">
      <c r="B14" s="65" t="s">
        <v>126</v>
      </c>
      <c r="C14" s="66">
        <v>0</v>
      </c>
      <c r="E14" s="66">
        <v>0</v>
      </c>
      <c r="F14" s="67">
        <v>7357.23</v>
      </c>
      <c r="G14" s="69">
        <f t="shared" si="0"/>
        <v>7357.23</v>
      </c>
      <c r="H14" s="68"/>
    </row>
    <row r="15" spans="2:8" x14ac:dyDescent="0.25">
      <c r="B15" t="s">
        <v>11</v>
      </c>
      <c r="C15" s="1">
        <v>0</v>
      </c>
      <c r="E15" s="1">
        <f>+C15/12*3</f>
        <v>0</v>
      </c>
      <c r="F15">
        <v>0</v>
      </c>
      <c r="G15" s="1">
        <f t="shared" si="0"/>
        <v>0</v>
      </c>
    </row>
    <row r="16" spans="2:8" s="3" customFormat="1" ht="21" x14ac:dyDescent="0.35">
      <c r="B16" s="3" t="s">
        <v>26</v>
      </c>
      <c r="C16" s="11">
        <f>SUM(C12:C15)</f>
        <v>6345</v>
      </c>
      <c r="D16" s="12"/>
      <c r="E16" s="11">
        <f>SUM(E12:E15)</f>
        <v>6345</v>
      </c>
      <c r="F16" s="11">
        <f>SUM(F12:F15)</f>
        <v>13702.23</v>
      </c>
      <c r="G16" s="25">
        <f t="shared" si="0"/>
        <v>7357.23</v>
      </c>
      <c r="H16" s="63"/>
    </row>
    <row r="17" spans="2:8" ht="21" x14ac:dyDescent="0.35">
      <c r="C17" s="4"/>
    </row>
    <row r="18" spans="2:8" ht="21" x14ac:dyDescent="0.35">
      <c r="B18" s="3" t="s">
        <v>12</v>
      </c>
      <c r="C18" s="1"/>
    </row>
    <row r="19" spans="2:8" s="70" customFormat="1" x14ac:dyDescent="0.25">
      <c r="B19" s="70" t="s">
        <v>13</v>
      </c>
      <c r="C19" s="71">
        <v>3300</v>
      </c>
      <c r="D19" s="71"/>
      <c r="E19" s="71">
        <f>+C19</f>
        <v>3300</v>
      </c>
      <c r="F19" s="71">
        <f>164.72+274.6+192.24+414.04+297.44+247.24+247.24+297.04+367+376.76+308.36+308.36+308.36</f>
        <v>3803.400000000001</v>
      </c>
      <c r="G19" s="72">
        <f t="shared" ref="G19:G33" si="1">+E19-F19</f>
        <v>-503.400000000001</v>
      </c>
      <c r="H19" s="82" t="s">
        <v>147</v>
      </c>
    </row>
    <row r="20" spans="2:8" s="70" customFormat="1" ht="52.9" customHeight="1" x14ac:dyDescent="0.25">
      <c r="B20" s="70" t="s">
        <v>14</v>
      </c>
      <c r="C20" s="71">
        <v>0</v>
      </c>
      <c r="D20" s="71"/>
      <c r="E20" s="71">
        <f t="shared" ref="E20:E33" si="2">+C20</f>
        <v>0</v>
      </c>
      <c r="F20" s="71">
        <f>41.2+68.2+48+50.2+50.2+0.4</f>
        <v>258.2</v>
      </c>
      <c r="G20" s="72">
        <f t="shared" si="1"/>
        <v>-258.2</v>
      </c>
      <c r="H20" s="82"/>
    </row>
    <row r="21" spans="2:8" x14ac:dyDescent="0.25">
      <c r="B21" t="s">
        <v>15</v>
      </c>
      <c r="C21" s="36">
        <v>150</v>
      </c>
      <c r="D21" s="36"/>
      <c r="E21" s="36">
        <f t="shared" si="2"/>
        <v>150</v>
      </c>
      <c r="F21" s="36">
        <v>0</v>
      </c>
      <c r="G21" s="36">
        <f t="shared" si="1"/>
        <v>150</v>
      </c>
    </row>
    <row r="22" spans="2:8" ht="31.5" x14ac:dyDescent="0.25">
      <c r="B22" s="70" t="s">
        <v>64</v>
      </c>
      <c r="C22" s="71">
        <v>300</v>
      </c>
      <c r="D22" s="71"/>
      <c r="E22" s="71">
        <f t="shared" si="2"/>
        <v>300</v>
      </c>
      <c r="F22" s="71">
        <f>87.25+136.99+15+9.36+200+85.4+600</f>
        <v>1134</v>
      </c>
      <c r="G22" s="72">
        <f t="shared" si="1"/>
        <v>-834</v>
      </c>
      <c r="H22" s="68" t="s">
        <v>148</v>
      </c>
    </row>
    <row r="23" spans="2:8" x14ac:dyDescent="0.25">
      <c r="B23" t="s">
        <v>65</v>
      </c>
      <c r="C23" s="36">
        <v>220</v>
      </c>
      <c r="D23" s="36"/>
      <c r="E23" s="36">
        <f t="shared" si="2"/>
        <v>220</v>
      </c>
      <c r="F23" s="36">
        <v>223</v>
      </c>
      <c r="G23" s="36">
        <f t="shared" si="1"/>
        <v>-3</v>
      </c>
    </row>
    <row r="24" spans="2:8" x14ac:dyDescent="0.25">
      <c r="B24" t="s">
        <v>66</v>
      </c>
      <c r="C24" s="36">
        <v>60</v>
      </c>
      <c r="D24" s="36"/>
      <c r="E24" s="36">
        <f t="shared" si="2"/>
        <v>60</v>
      </c>
      <c r="F24" s="36"/>
      <c r="G24" s="36">
        <f t="shared" si="1"/>
        <v>60</v>
      </c>
    </row>
    <row r="25" spans="2:8" x14ac:dyDescent="0.25">
      <c r="B25" t="s">
        <v>76</v>
      </c>
      <c r="C25" s="36">
        <v>280</v>
      </c>
      <c r="D25" s="36"/>
      <c r="E25" s="36">
        <f t="shared" si="2"/>
        <v>280</v>
      </c>
      <c r="F25" s="36">
        <f>151.26+50+47</f>
        <v>248.26</v>
      </c>
      <c r="G25" s="36">
        <f t="shared" si="1"/>
        <v>31.740000000000009</v>
      </c>
    </row>
    <row r="26" spans="2:8" x14ac:dyDescent="0.25">
      <c r="B26" t="s">
        <v>16</v>
      </c>
      <c r="C26" s="36">
        <v>350</v>
      </c>
      <c r="D26" s="36"/>
      <c r="E26" s="36">
        <f t="shared" si="2"/>
        <v>350</v>
      </c>
      <c r="F26" s="36">
        <v>374.12</v>
      </c>
      <c r="G26" s="36">
        <f t="shared" si="1"/>
        <v>-24.120000000000005</v>
      </c>
    </row>
    <row r="27" spans="2:8" x14ac:dyDescent="0.25">
      <c r="B27" t="s">
        <v>79</v>
      </c>
      <c r="C27" s="36">
        <v>750</v>
      </c>
      <c r="D27" s="36"/>
      <c r="E27" s="36">
        <f t="shared" si="2"/>
        <v>750</v>
      </c>
      <c r="F27" s="36">
        <v>0</v>
      </c>
      <c r="G27" s="75">
        <f t="shared" si="1"/>
        <v>750</v>
      </c>
      <c r="H27" s="61" t="s">
        <v>153</v>
      </c>
    </row>
    <row r="28" spans="2:8" x14ac:dyDescent="0.25">
      <c r="B28" t="s">
        <v>58</v>
      </c>
      <c r="C28" s="36">
        <v>120</v>
      </c>
      <c r="D28" s="36"/>
      <c r="E28" s="36">
        <f t="shared" si="2"/>
        <v>120</v>
      </c>
      <c r="F28" s="36">
        <v>98</v>
      </c>
      <c r="G28" s="36">
        <f t="shared" si="1"/>
        <v>22</v>
      </c>
    </row>
    <row r="29" spans="2:8" x14ac:dyDescent="0.25">
      <c r="B29" t="s">
        <v>68</v>
      </c>
      <c r="C29" s="36">
        <v>175</v>
      </c>
      <c r="D29" s="36"/>
      <c r="E29" s="36">
        <f t="shared" si="2"/>
        <v>175</v>
      </c>
      <c r="F29" s="36">
        <v>0</v>
      </c>
      <c r="G29" s="36">
        <f t="shared" si="1"/>
        <v>175</v>
      </c>
    </row>
    <row r="30" spans="2:8" x14ac:dyDescent="0.25">
      <c r="B30" t="s">
        <v>69</v>
      </c>
      <c r="C30" s="36">
        <v>0</v>
      </c>
      <c r="D30" s="36"/>
      <c r="E30" s="36">
        <f t="shared" si="2"/>
        <v>0</v>
      </c>
      <c r="F30" s="36">
        <v>0</v>
      </c>
      <c r="G30" s="36">
        <f t="shared" si="1"/>
        <v>0</v>
      </c>
    </row>
    <row r="31" spans="2:8" x14ac:dyDescent="0.25">
      <c r="B31" t="s">
        <v>129</v>
      </c>
      <c r="C31" s="36">
        <v>0</v>
      </c>
      <c r="D31" s="36"/>
      <c r="E31" s="36">
        <f t="shared" si="2"/>
        <v>0</v>
      </c>
      <c r="F31" s="36">
        <v>7719.6</v>
      </c>
      <c r="G31" s="73">
        <f t="shared" si="1"/>
        <v>-7719.6</v>
      </c>
      <c r="H31" s="61" t="s">
        <v>149</v>
      </c>
    </row>
    <row r="32" spans="2:8" x14ac:dyDescent="0.25">
      <c r="B32" t="s">
        <v>34</v>
      </c>
      <c r="C32" s="36">
        <v>0</v>
      </c>
      <c r="D32" s="36"/>
      <c r="E32" s="36">
        <f t="shared" si="2"/>
        <v>0</v>
      </c>
      <c r="F32" s="36">
        <f>44.6+19.6+10+13</f>
        <v>87.2</v>
      </c>
      <c r="G32" s="36">
        <f t="shared" si="1"/>
        <v>-87.2</v>
      </c>
    </row>
    <row r="33" spans="2:8" x14ac:dyDescent="0.25">
      <c r="B33" t="s">
        <v>70</v>
      </c>
      <c r="C33" s="36">
        <v>500</v>
      </c>
      <c r="D33" s="36"/>
      <c r="E33" s="36">
        <f t="shared" si="2"/>
        <v>500</v>
      </c>
      <c r="F33" s="36">
        <f>250+150+67</f>
        <v>467</v>
      </c>
      <c r="G33" s="36">
        <f t="shared" si="1"/>
        <v>33</v>
      </c>
    </row>
    <row r="34" spans="2:8" s="3" customFormat="1" ht="21" x14ac:dyDescent="0.35">
      <c r="B34" s="3" t="s">
        <v>27</v>
      </c>
      <c r="C34" s="37">
        <f>SUM(C19:C33)</f>
        <v>6205</v>
      </c>
      <c r="D34" s="37"/>
      <c r="E34" s="37">
        <f>SUM(E19:E33)</f>
        <v>6205</v>
      </c>
      <c r="F34" s="37">
        <f>SUM(F19:F33)</f>
        <v>14412.780000000002</v>
      </c>
      <c r="G34" s="76">
        <f>SUM(G19:G33)</f>
        <v>-8207.7800000000025</v>
      </c>
      <c r="H34" s="63"/>
    </row>
    <row r="35" spans="2:8" x14ac:dyDescent="0.25">
      <c r="C35" s="1"/>
    </row>
    <row r="36" spans="2:8" ht="21" x14ac:dyDescent="0.35">
      <c r="B36" s="3" t="s">
        <v>28</v>
      </c>
      <c r="C36" s="21">
        <f>+C16-C34</f>
        <v>140</v>
      </c>
      <c r="D36" s="22"/>
      <c r="E36" s="21">
        <f>+E16-E34</f>
        <v>140</v>
      </c>
      <c r="F36" s="21">
        <f>+F16-F34</f>
        <v>-710.55000000000291</v>
      </c>
      <c r="G36" s="74">
        <f>+G16+G34</f>
        <v>-850.55000000000291</v>
      </c>
      <c r="H36" s="61" t="s">
        <v>150</v>
      </c>
    </row>
    <row r="37" spans="2:8" x14ac:dyDescent="0.25">
      <c r="C37" s="1"/>
    </row>
    <row r="38" spans="2:8" ht="21" x14ac:dyDescent="0.35">
      <c r="B38" s="2" t="s">
        <v>143</v>
      </c>
      <c r="C38" s="1"/>
      <c r="F38" s="4">
        <f>+C9+F16-F34</f>
        <v>41273.300000000003</v>
      </c>
    </row>
    <row r="39" spans="2:8" x14ac:dyDescent="0.25">
      <c r="C39" s="1"/>
      <c r="H39" s="64"/>
    </row>
    <row r="41" spans="2:8" x14ac:dyDescent="0.25">
      <c r="B41" s="2" t="s">
        <v>125</v>
      </c>
    </row>
    <row r="42" spans="2:8" ht="18.75" x14ac:dyDescent="0.3">
      <c r="E42" s="13"/>
    </row>
    <row r="43" spans="2:8" ht="21" x14ac:dyDescent="0.35">
      <c r="B43" t="s">
        <v>145</v>
      </c>
      <c r="F43" s="53">
        <f>+C9</f>
        <v>41983.85</v>
      </c>
    </row>
    <row r="44" spans="2:8" x14ac:dyDescent="0.25">
      <c r="B44" t="s">
        <v>9</v>
      </c>
      <c r="F44" s="50">
        <f>+F12</f>
        <v>6345</v>
      </c>
    </row>
    <row r="45" spans="2:8" x14ac:dyDescent="0.25">
      <c r="B45" t="s">
        <v>138</v>
      </c>
      <c r="F45" s="50">
        <f>+F14</f>
        <v>7357.23</v>
      </c>
    </row>
    <row r="46" spans="2:8" x14ac:dyDescent="0.25">
      <c r="B46" t="s">
        <v>127</v>
      </c>
      <c r="F46" s="50">
        <f>+F19+F20</f>
        <v>4061.6000000000008</v>
      </c>
    </row>
    <row r="47" spans="2:8" x14ac:dyDescent="0.25">
      <c r="B47" t="s">
        <v>128</v>
      </c>
      <c r="F47" s="50">
        <f>+F34-F46</f>
        <v>10351.180000000002</v>
      </c>
    </row>
    <row r="48" spans="2:8" ht="21" x14ac:dyDescent="0.35">
      <c r="B48" t="s">
        <v>31</v>
      </c>
      <c r="F48" s="37">
        <f>+F43+F44+F45-F46-F47</f>
        <v>41273.300000000003</v>
      </c>
    </row>
    <row r="50" spans="2:6" x14ac:dyDescent="0.25">
      <c r="B50" t="s">
        <v>141</v>
      </c>
      <c r="F50" s="36">
        <v>2469</v>
      </c>
    </row>
    <row r="51" spans="2:6" x14ac:dyDescent="0.25">
      <c r="B51" t="s">
        <v>142</v>
      </c>
      <c r="F51" s="36">
        <v>38804</v>
      </c>
    </row>
    <row r="52" spans="2:6" ht="21" x14ac:dyDescent="0.35">
      <c r="B52" t="s">
        <v>146</v>
      </c>
      <c r="F52" s="37">
        <f>SUM(F50:F51)</f>
        <v>41273</v>
      </c>
    </row>
    <row r="55" spans="2:6" x14ac:dyDescent="0.25">
      <c r="B55" s="2" t="s">
        <v>154</v>
      </c>
    </row>
    <row r="56" spans="2:6" x14ac:dyDescent="0.25">
      <c r="B56" t="s">
        <v>155</v>
      </c>
    </row>
  </sheetData>
  <mergeCells count="1">
    <mergeCell ref="H19:H20"/>
  </mergeCells>
  <pageMargins left="0.7" right="0.7" top="0.75" bottom="0.75" header="0.3" footer="0.3"/>
  <pageSetup paperSize="9" scale="59" orientation="portrait" copies="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Annual Budget 2024 25</vt:lpstr>
      <vt:lpstr>Cashbook</vt:lpstr>
      <vt:lpstr>Year End</vt:lpstr>
      <vt:lpstr>'Annual Budget 2024 25'!Print_Area</vt:lpstr>
      <vt:lpstr>Cashbook!Print_Area</vt:lpstr>
      <vt:lpstr>'Year End'!Print_Area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GROGAN</dc:creator>
  <cp:keywords/>
  <dc:description/>
  <cp:lastModifiedBy>User</cp:lastModifiedBy>
  <cp:revision/>
  <cp:lastPrinted>2025-05-11T12:32:11Z</cp:lastPrinted>
  <dcterms:created xsi:type="dcterms:W3CDTF">2024-06-20T11:15:52Z</dcterms:created>
  <dcterms:modified xsi:type="dcterms:W3CDTF">2025-05-11T12:36:29Z</dcterms:modified>
  <cp:category/>
  <cp:contentStatus/>
</cp:coreProperties>
</file>